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comments3.xml" ContentType="application/vnd.openxmlformats-officedocument.spreadsheetml.comments+xml"/>
  <Override PartName="/xl/styles.xml" ContentType="application/vnd.openxmlformats-officedocument.spreadsheetml.styles+xml"/>
  <Override PartName="/xl/worksheets/_rels/sheet5.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vmlDrawing1.vml" ContentType="application/vnd.openxmlformats-officedocument.vmlDrawing"/>
  <Override PartName="/xl/drawings/drawing3.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anduan" sheetId="1" state="visible" r:id="rId3"/>
    <sheet name="Master Pelanggan" sheetId="2" state="visible" r:id="rId4"/>
    <sheet name="Data Piutang" sheetId="3" state="visible" r:id="rId5"/>
    <sheet name="Rekap Umur Piutang" sheetId="4" state="visible" r:id="rId6"/>
    <sheet name="Daftar Tagih" sheetId="5" state="visible" r:id="rId7"/>
  </sheets>
  <definedNames>
    <definedName function="false" hidden="false" localSheetId="4" name="_xlnm.Print_Titles" vbProcedure="false">'Daftar Tagih'!$1:$2</definedName>
    <definedName function="false" hidden="true" localSheetId="4" name="_xlnm._FilterDatabase" vbProcedure="false">'Daftar Tagih'!$A$5:$H$65</definedName>
    <definedName function="false" hidden="false" localSheetId="2" name="_xlnm.Print_Titles" vbProcedure="false">'Data Piutang'!$1:$2</definedName>
    <definedName function="false" hidden="true" localSheetId="2" name="_xlnm._FilterDatabase" vbProcedure="false">'Data Piutang'!$A$7:$N$307</definedName>
    <definedName function="false" hidden="false" localSheetId="1" name="_xlnm.Print_Titles" vbProcedure="false">'Master Pelanggan'!$1:$2</definedName>
    <definedName function="false" hidden="true" localSheetId="1" name="_xlnm._FilterDatabase" vbProcedure="false">'Master Pelanggan'!$A$5:$F$105</definedName>
    <definedName function="false" hidden="false" localSheetId="0" name="_xlnm.Print_Area" vbProcedure="false">Panduan!$A$1:$H$32</definedName>
    <definedName function="false" hidden="false" localSheetId="3" name="_xlnm.Print_Titles" vbProcedure="false">'Rekap Umur Piutang'!$1:$2</definedName>
  </definedNames>
  <calcPr iterateCount="100" refMode="A1" iterate="false" iterateDelta="0.0001"/>
  <extLst>
    <ext xmlns:loext="http://schemas.libreoffice.org/" uri="{7626C862-2A13-11E5-B345-FEFF819CDC9F}">
      <loext:extCalcPr stringRefSyntax="ExcelA1"/>
    </ext>
  </extLst>
</workbook>
</file>

<file path=xl/comments3.xml><?xml version="1.0" encoding="utf-8"?>
<comments xmlns="http://schemas.openxmlformats.org/spreadsheetml/2006/main" xmlns:xdr="http://schemas.openxmlformats.org/drawingml/2006/spreadsheetDrawing">
  <authors>
    <author>Unknown Author</author>
  </authors>
  <commentList>
    <comment ref="C7" authorId="0">
      <text>
        <r>
          <rPr>
            <sz val="10"/>
            <rFont val="Arial"/>
            <family val="2"/>
          </rPr>
          <t xml:space="preserve">Nomor faktur wajib diisi — kolom No dan seluruh rekap menghitung baris berdasarkan kolom ini.</t>
        </r>
      </text>
    </comment>
    <comment ref="F7" authorId="0">
      <text>
        <r>
          <rPr>
            <sz val="10"/>
            <rFont val="Arial"/>
            <family val="2"/>
          </rPr>
          <t xml:space="preserve">Jumlah hari tempo yang kamu berikan. Jatuh tempo = tanggal faktur + termin.
Kalau pelanggan sudah punya termin standar, salin dari sheet Master Pelanggan.</t>
        </r>
      </text>
    </comment>
    <comment ref="I7" authorId="0">
      <text>
        <r>
          <rPr>
            <sz val="10"/>
            <rFont val="Arial"/>
            <family val="2"/>
          </rPr>
          <t xml:space="preserve">Total uang yang sudah diterima untuk faktur ini. Kalau baru dibayar sebagian, isi sebesar yang sudah masuk.</t>
        </r>
      </text>
    </comment>
    <comment ref="L7" authorId="0">
      <text>
        <r>
          <rPr>
            <sz val="10"/>
            <rFont val="Arial"/>
            <family val="2"/>
          </rPr>
          <t xml:space="preserve">Selisih hari antara hari ini dan tanggal jatuh tempo.
Nilai 0 berarti belum jatuh tempo atau sudah lunas.</t>
        </r>
      </text>
    </comment>
    <comment ref="N7" authorId="0">
      <text>
        <r>
          <rPr>
            <sz val="10"/>
            <rFont val="Arial"/>
            <family val="2"/>
          </rPr>
          <t xml:space="preserve">Kolom bantu untuk mengurutkan sheet Daftar Tagih. Terisi otomatis — jangan dihapus atau diketik ulang.</t>
        </r>
      </text>
    </comment>
  </commentList>
</comments>
</file>

<file path=xl/sharedStrings.xml><?xml version="1.0" encoding="utf-8"?>
<sst xmlns="http://schemas.openxmlformats.org/spreadsheetml/2006/main" count="144" uniqueCount="122">
  <si>
    <t xml:space="preserve">Kartu Piutang &amp; Umur Tagihan</t>
  </si>
  <si>
    <t xml:space="preserve">Template gratis dari Vita | Accurate Online  ·  vitaaccurate.online/tools</t>
  </si>
  <si>
    <t xml:space="preserve">Buat apa file ini?</t>
  </si>
  <si>
    <t xml:space="preserve">Mencatat siapa saja yang belum bayar, berapa jumlahnya, dan sudah lewat berapa hari dari jatuh tempo.</t>
  </si>
  <si>
    <t xml:space="preserve">Cara pakai</t>
  </si>
  <si>
    <t xml:space="preserve">1.  Isi Master Pelanggan</t>
  </si>
  <si>
    <t xml:space="preserve">Buka sheet 'Master Pelanggan'. Tulis nama pelanggan, kontak, dan termin standarnya. Nama di sini akan muncul sebagai pilihan dropdown di sheet Data Piutang.</t>
  </si>
  <si>
    <t xml:space="preserve">2.  Catat setiap faktur</t>
  </si>
  <si>
    <t xml:space="preserve">Di sheet 'Data Piutang', isi satu baris untuk satu faktur. Cukup isi kolom berlatar putih saja: tanggal, no. faktur, pelanggan, termin, dan nilai tagihan.</t>
  </si>
  <si>
    <t xml:space="preserve">3.  Catat pembayaran masuk</t>
  </si>
  <si>
    <t xml:space="preserve">Saat pelanggan bayar, isi kolom 'Sudah Dibayar' di baris faktur tersebut. Kalau bayar sebagian, isi sebesar yang sudah masuk saja.</t>
  </si>
  <si>
    <t xml:space="preserve">4.  Baca hasilnya</t>
  </si>
  <si>
    <t xml:space="preserve">Kolom abu-abu terisi otomatis: jatuh tempo, sisa tagihan, status, umur, dan kategori umur. Sheet 'Rekap Umur Piutang' merangkum semuanya per pelanggan.</t>
  </si>
  <si>
    <t xml:space="preserve">5.  Tindak lanjuti</t>
  </si>
  <si>
    <t xml:space="preserve">Sheet 'Daftar Tagih' menyusun faktur yang paling mendesak lebih dulu, siap dipakai saat menelepon atau mengirim pesan penagihan.</t>
  </si>
  <si>
    <t xml:space="preserve">Arti warna</t>
  </si>
  <si>
    <t xml:space="preserve">Latar putih, tulisan biru</t>
  </si>
  <si>
    <t xml:space="preserve">Kolom yang kamu isi sendiri.</t>
  </si>
  <si>
    <t xml:space="preserve">Latar abu-abu muda</t>
  </si>
  <si>
    <t xml:space="preserve">Terisi otomatis oleh rumus. Sebaiknya jangan diketik ulang.</t>
  </si>
  <si>
    <t xml:space="preserve">Hijau</t>
  </si>
  <si>
    <t xml:space="preserve">Lunas, atau belum jatuh tempo. Aman.</t>
  </si>
  <si>
    <t xml:space="preserve">Kuning</t>
  </si>
  <si>
    <t xml:space="preserve">Lewat jatuh tempo 1–30 hari. Mulai diingatkan.</t>
  </si>
  <si>
    <t xml:space="preserve">Merah</t>
  </si>
  <si>
    <t xml:space="preserve">Lewat jatuh tempo di atas 60 hari. Perlu tindakan serius.</t>
  </si>
  <si>
    <t xml:space="preserve">Yang perlu diketahui</t>
  </si>
  <si>
    <t xml:space="preserve">•   Umur tagihan dihitung dari tanggal hari ini. Angkanya berubah sendiri setiap kali file dibuka — jadi tidak perlu diperbarui manual.</t>
  </si>
  <si>
    <t xml:space="preserve">•   Baris contoh di sheet Data Piutang ditandai dengan latar kuning. Hapus semuanya sebelum kamu mulai memakai file ini.</t>
  </si>
  <si>
    <t xml:space="preserve">•   Kapasitas template ini 300 faktur. Kalau kurang, salin baris terakhir ke bawah — rumusnya ikut tersalin.</t>
  </si>
  <si>
    <t xml:space="preserve">•   File ini tidak mencatat jurnal, pajak, atau kartu piutang berpasangan. Untuk itu diperlukan software akuntansi.</t>
  </si>
  <si>
    <t xml:space="preserve">Kalau daftar piutangmu sudah semakin panjang
Mencatat manual masih cukup selama fakturnya puluhan. Begitu sudah ratusan dan mulai ada cicilan, retur, atau pelunasan sebagian, pencatatan seperti ini rawan meleset — dan yang paling sering terjadi, tagihan lama terlewat begitu saja.
Kalau kamu ingin berdiskusi soal merapikan pencatatan piutang usahamu, hubungi Vita lewat WhatsApp di 0858-6468-2183. Gratis, tanpa kewajiban apa pun.</t>
  </si>
  <si>
    <t xml:space="preserve">Master Pelanggan</t>
  </si>
  <si>
    <t xml:space="preserve">Daftar pelanggan yang membeli secara kredit. Nama di kolom B menjadi pilihan dropdown di sheet Data Piutang.</t>
  </si>
  <si>
    <t xml:space="preserve">No</t>
  </si>
  <si>
    <t xml:space="preserve">Nama Pelanggan</t>
  </si>
  <si>
    <t xml:space="preserve">Kontak / PIC</t>
  </si>
  <si>
    <t xml:space="preserve">Nomor Telepon</t>
  </si>
  <si>
    <t xml:space="preserve">Termin (hari)</t>
  </si>
  <si>
    <t xml:space="preserve">Catatan</t>
  </si>
  <si>
    <t xml:space="preserve">Baris contoh</t>
  </si>
  <si>
    <t xml:space="preserve">Toko Berkah Jaya</t>
  </si>
  <si>
    <t xml:space="preserve">Bu Sri</t>
  </si>
  <si>
    <t xml:space="preserve">0812-3456-7890</t>
  </si>
  <si>
    <t xml:space="preserve">Pelanggan rutin sejak 2023</t>
  </si>
  <si>
    <t xml:space="preserve">Enam nama di samping hanyalah contoh format. Hapus semuanya, lalu isi dengan pelanggan kredit milikmu sendiri.
Termin standar adalah tenggat pembayaran yang biasa kamu berikan ke pelanggan itu, dihitung dalam hari.</t>
  </si>
  <si>
    <t xml:space="preserve">CV Mitra Sentosa</t>
  </si>
  <si>
    <t xml:space="preserve">Pak Anwar</t>
  </si>
  <si>
    <t xml:space="preserve">0813-2233-4455</t>
  </si>
  <si>
    <t xml:space="preserve">Minta tempo lebih panjang</t>
  </si>
  <si>
    <t xml:space="preserve">Warung Bu Yati</t>
  </si>
  <si>
    <t xml:space="preserve">Bu Yati</t>
  </si>
  <si>
    <t xml:space="preserve">0857-1122-3344</t>
  </si>
  <si>
    <t xml:space="preserve">PT Cahaya Nusantara</t>
  </si>
  <si>
    <t xml:space="preserve">Ibu Rina</t>
  </si>
  <si>
    <t xml:space="preserve">021-5566-7788</t>
  </si>
  <si>
    <t xml:space="preserve">Pembayaran lewat transfer, tiap tanggal 25</t>
  </si>
  <si>
    <t xml:space="preserve">Toko Sinar Abadi</t>
  </si>
  <si>
    <t xml:space="preserve">Pak Hendra</t>
  </si>
  <si>
    <t xml:space="preserve">0878-9900-1122</t>
  </si>
  <si>
    <t xml:space="preserve">Kios Melati</t>
  </si>
  <si>
    <t xml:space="preserve">Mbak Dewi</t>
  </si>
  <si>
    <t xml:space="preserve">0821-3344-5566</t>
  </si>
  <si>
    <t xml:space="preserve">Sering telat, perlu diingatkan</t>
  </si>
  <si>
    <t xml:space="preserve">Data Piutang</t>
  </si>
  <si>
    <t xml:space="preserve">Satu baris untuk satu faktur. Isi kolom berlatar putih saja — kolom abu-abu terisi otomatis.</t>
  </si>
  <si>
    <t xml:space="preserve">  RINGKASAN CEPAT</t>
  </si>
  <si>
    <t xml:space="preserve">Total Piutang Belum Tertagih</t>
  </si>
  <si>
    <t xml:space="preserve">Jumlah Faktur Terbuka</t>
  </si>
  <si>
    <t xml:space="preserve">Sudah Lewat Jatuh Tempo</t>
  </si>
  <si>
    <t xml:space="preserve">Faktur Terlama (hari)</t>
  </si>
  <si>
    <t xml:space="preserve">Rata-rata Umur Tunggakan</t>
  </si>
  <si>
    <t xml:space="preserve">Umur tagihan dihitung terhadap tanggal hari ini, yaitu:</t>
  </si>
  <si>
    <t xml:space="preserve">Tgl Faktur</t>
  </si>
  <si>
    <t xml:space="preserve">No. Faktur</t>
  </si>
  <si>
    <t xml:space="preserve">Pelanggan</t>
  </si>
  <si>
    <t xml:space="preserve">Keterangan</t>
  </si>
  <si>
    <t xml:space="preserve">Termin</t>
  </si>
  <si>
    <t xml:space="preserve">Jatuh Tempo</t>
  </si>
  <si>
    <t xml:space="preserve">Nilai Tagihan</t>
  </si>
  <si>
    <t xml:space="preserve">Sudah Dibayar</t>
  </si>
  <si>
    <t xml:space="preserve">Sisa Tagihan</t>
  </si>
  <si>
    <t xml:space="preserve">Status</t>
  </si>
  <si>
    <t xml:space="preserve">Telat (hari)</t>
  </si>
  <si>
    <t xml:space="preserve">Kategori Umur</t>
  </si>
  <si>
    <t xml:space="preserve">Skor</t>
  </si>
  <si>
    <t xml:space="preserve">INV-2601</t>
  </si>
  <si>
    <t xml:space="preserve">Beras 25 kg × 40 sak</t>
  </si>
  <si>
    <t xml:space="preserve">INV-2607</t>
  </si>
  <si>
    <t xml:space="preserve">Minyak goreng 2 L × 60 pcs</t>
  </si>
  <si>
    <t xml:space="preserve">INV-2612</t>
  </si>
  <si>
    <t xml:space="preserve">Gula pasir 50 kg × 20 sak</t>
  </si>
  <si>
    <t xml:space="preserve">INV-2618</t>
  </si>
  <si>
    <t xml:space="preserve">Telur 15 kg × 12 peti</t>
  </si>
  <si>
    <t xml:space="preserve">INV-2623</t>
  </si>
  <si>
    <t xml:space="preserve">Tepung terigu × 100 sak</t>
  </si>
  <si>
    <t xml:space="preserve">INV-2630</t>
  </si>
  <si>
    <t xml:space="preserve">Kopi bubuk 250 g × 200 pcs</t>
  </si>
  <si>
    <t xml:space="preserve">INV-2635</t>
  </si>
  <si>
    <t xml:space="preserve">Susu kaleng × 80 pcs</t>
  </si>
  <si>
    <t xml:space="preserve">INV-2641</t>
  </si>
  <si>
    <t xml:space="preserve">Mie instan × 30 dus</t>
  </si>
  <si>
    <t xml:space="preserve">TOTAL</t>
  </si>
  <si>
    <t xml:space="preserve">Rekap Umur Piutang</t>
  </si>
  <si>
    <t xml:space="preserve">Ringkasan otomatis per pelanggan. Seluruh angka di sheet ini terisi sendiri dari sheet Data Piutang.</t>
  </si>
  <si>
    <t xml:space="preserve">Sebaran piutang menurut umur</t>
  </si>
  <si>
    <t xml:space="preserve">Belum Jatuh Tempo</t>
  </si>
  <si>
    <t xml:space="preserve">1-30 hari</t>
  </si>
  <si>
    <t xml:space="preserve">31-60 hari</t>
  </si>
  <si>
    <t xml:space="preserve">61-90 hari</t>
  </si>
  <si>
    <t xml:space="preserve">Lebih dari 90 hari</t>
  </si>
  <si>
    <t xml:space="preserve">Total Piutang</t>
  </si>
  <si>
    <t xml:space="preserve">Tagihan yang belum masuk hitungan per pelanggan  (nama di Data Piutang belum terdaftar di Master Pelanggan)</t>
  </si>
  <si>
    <t xml:space="preserve">Belum Tempo</t>
  </si>
  <si>
    <t xml:space="preserve">&gt;90 hari</t>
  </si>
  <si>
    <t xml:space="preserve">% Total</t>
  </si>
  <si>
    <t xml:space="preserve">Baris berlatar merah di atas tabel ini muncul kalau ada faktur yang nama pelanggannya diketik manual dan belum terdaftar di Master Pelanggan — tagihan seperti itu tidak ikut terhitung di tabel per pelanggan. Kalau angkanya nol dan berlatar hijau, berarti semua tagihan sudah terekap dengan benar.
Faktur berstatus Lebih Bayar sengaja tidak dihitung sebagai piutang, karena itu kelebihan uang yang justru menjadi kewajibanmu kepada pelanggan.</t>
  </si>
  <si>
    <t xml:space="preserve">Daftar Tagih</t>
  </si>
  <si>
    <t xml:space="preserve">Faktur yang perlu ditagih, tersusun otomatis dari yang paling lama menunggak. Pakai filter di kolom untuk menyaring.</t>
  </si>
  <si>
    <t xml:space="preserve">Prioritas</t>
  </si>
  <si>
    <t xml:space="preserve">Catatan Penagihan</t>
  </si>
  <si>
    <t xml:space="preserve">Daftar ini hanya menampilkan faktur yang sudah lewat jatuh tempo, diurutkan dari yang paling lama menunggak. Kolom Catatan Penagihan bisa kamu isi sendiri — misalnya tanggal terakhir dihubungi, janji bayar, atau alasan penundaan. Kapasitas 60 baris teratas; kalau tunggakanmu lebih dari itu, prioritaskan yang tampil di sini lebih dulu.</t>
  </si>
</sst>
</file>

<file path=xl/styles.xml><?xml version="1.0" encoding="utf-8"?>
<styleSheet xmlns="http://schemas.openxmlformats.org/spreadsheetml/2006/main">
  <numFmts count="9">
    <numFmt numFmtId="164" formatCode="General"/>
    <numFmt numFmtId="165" formatCode="General"/>
    <numFmt numFmtId="166" formatCode="&quot;Rp&quot;#,##0;[RED]&quot;-Rp&quot;#,##0;\-"/>
    <numFmt numFmtId="167" formatCode="#,##0;[RED]\-#,##0;\-"/>
    <numFmt numFmtId="168" formatCode="dd\ mmmm\ yyyy"/>
    <numFmt numFmtId="169" formatCode="dd/mm/yyyy"/>
    <numFmt numFmtId="170" formatCode="&quot;Rp&quot;#,##0;[RED]&quot;-Rp&quot;#,##0;&quot;&quot;"/>
    <numFmt numFmtId="171" formatCode="#,##0;[RED]\-#,##0;&quot;&quot;"/>
    <numFmt numFmtId="172" formatCode="0.0%"/>
  </numFmts>
  <fonts count="44">
    <font>
      <sz val="11"/>
      <color theme="1"/>
      <name val="Calibri"/>
      <family val="2"/>
      <charset val="1"/>
    </font>
    <font>
      <sz val="10"/>
      <name val="Arial"/>
      <family val="0"/>
    </font>
    <font>
      <sz val="10"/>
      <name val="Arial"/>
      <family val="0"/>
    </font>
    <font>
      <sz val="10"/>
      <name val="Arial"/>
      <family val="0"/>
    </font>
    <font>
      <b val="true"/>
      <sz val="16"/>
      <color rgb="FFFFFFFF"/>
      <name val="Arial"/>
      <family val="0"/>
      <charset val="1"/>
    </font>
    <font>
      <i val="true"/>
      <sz val="9"/>
      <color rgb="FF7C6C72"/>
      <name val="Arial"/>
      <family val="0"/>
      <charset val="1"/>
    </font>
    <font>
      <b val="true"/>
      <sz val="12"/>
      <color rgb="FFA33A5C"/>
      <name val="Arial"/>
      <family val="0"/>
      <charset val="1"/>
    </font>
    <font>
      <sz val="10"/>
      <color rgb="FF4A3D42"/>
      <name val="Arial"/>
      <family val="0"/>
      <charset val="1"/>
    </font>
    <font>
      <b val="true"/>
      <sz val="10"/>
      <color rgb="FF1C1418"/>
      <name val="Arial"/>
      <family val="0"/>
      <charset val="1"/>
    </font>
    <font>
      <sz val="9.5"/>
      <color rgb="FF4A3D42"/>
      <name val="Arial"/>
      <family val="0"/>
      <charset val="1"/>
    </font>
    <font>
      <b val="true"/>
      <sz val="9"/>
      <color rgb="FF1C1418"/>
      <name val="Arial"/>
      <family val="0"/>
      <charset val="1"/>
    </font>
    <font>
      <b val="true"/>
      <sz val="9"/>
      <color rgb="FFFFFFFF"/>
      <name val="Arial"/>
      <family val="0"/>
      <charset val="1"/>
    </font>
    <font>
      <b val="true"/>
      <sz val="9"/>
      <color rgb="FF9E6B14"/>
      <name val="Arial"/>
      <family val="0"/>
      <charset val="1"/>
    </font>
    <font>
      <sz val="9.5"/>
      <color rgb="FF7C6C72"/>
      <name val="Arial"/>
      <family val="0"/>
      <charset val="1"/>
    </font>
    <font>
      <sz val="9.5"/>
      <color rgb="FF0000FF"/>
      <name val="Arial"/>
      <family val="0"/>
      <charset val="1"/>
    </font>
    <font>
      <sz val="9"/>
      <color rgb="FF4A3D42"/>
      <name val="Arial"/>
      <family val="0"/>
      <charset val="1"/>
    </font>
    <font>
      <b val="true"/>
      <sz val="9"/>
      <color rgb="FFA33A5C"/>
      <name val="Arial"/>
      <family val="0"/>
      <charset val="1"/>
    </font>
    <font>
      <sz val="8"/>
      <color rgb="FF7C6C72"/>
      <name val="Arial"/>
      <family val="0"/>
      <charset val="1"/>
    </font>
    <font>
      <b val="true"/>
      <sz val="10"/>
      <color rgb="FFA33A5C"/>
      <name val="Arial"/>
      <family val="0"/>
      <charset val="1"/>
    </font>
    <font>
      <i val="true"/>
      <sz val="8.5"/>
      <color rgb="FF7C6C72"/>
      <name val="Arial"/>
      <family val="0"/>
      <charset val="1"/>
    </font>
    <font>
      <b val="true"/>
      <sz val="8.5"/>
      <color rgb="FF4A3D42"/>
      <name val="Arial"/>
      <family val="0"/>
      <charset val="1"/>
    </font>
    <font>
      <b val="true"/>
      <sz val="9.5"/>
      <color rgb="FF7C6C72"/>
      <name val="Arial"/>
      <family val="0"/>
      <charset val="1"/>
    </font>
    <font>
      <b val="true"/>
      <sz val="10"/>
      <color rgb="FFFFFFFF"/>
      <name val="Arial"/>
      <family val="0"/>
      <charset val="1"/>
    </font>
    <font>
      <sz val="10"/>
      <name val="Arial"/>
      <family val="2"/>
    </font>
    <font>
      <b val="true"/>
      <sz val="11"/>
      <color rgb="FFA33A5C"/>
      <name val="Arial"/>
      <family val="0"/>
      <charset val="1"/>
    </font>
    <font>
      <b val="true"/>
      <sz val="8.5"/>
      <color rgb="FF2A5F8F"/>
      <name val="Arial"/>
      <family val="0"/>
      <charset val="1"/>
    </font>
    <font>
      <b val="true"/>
      <sz val="8.5"/>
      <color rgb="FF9E6B14"/>
      <name val="Arial"/>
      <family val="0"/>
      <charset val="1"/>
    </font>
    <font>
      <b val="true"/>
      <sz val="8.5"/>
      <color rgb="FFB25A22"/>
      <name val="Arial"/>
      <family val="0"/>
      <charset val="1"/>
    </font>
    <font>
      <b val="true"/>
      <sz val="8.5"/>
      <color rgb="FFC0503C"/>
      <name val="Arial"/>
      <family val="0"/>
      <charset val="1"/>
    </font>
    <font>
      <b val="true"/>
      <sz val="8.5"/>
      <color rgb="FF8C2F1E"/>
      <name val="Arial"/>
      <family val="0"/>
      <charset val="1"/>
    </font>
    <font>
      <b val="true"/>
      <sz val="8.5"/>
      <color rgb="FFFFFFFF"/>
      <name val="Arial"/>
      <family val="0"/>
      <charset val="1"/>
    </font>
    <font>
      <b val="true"/>
      <sz val="11"/>
      <color rgb="FF2A5F8F"/>
      <name val="Arial"/>
      <family val="0"/>
      <charset val="1"/>
    </font>
    <font>
      <b val="true"/>
      <sz val="11"/>
      <color rgb="FF9E6B14"/>
      <name val="Arial"/>
      <family val="0"/>
      <charset val="1"/>
    </font>
    <font>
      <b val="true"/>
      <sz val="11"/>
      <color rgb="FFB25A22"/>
      <name val="Arial"/>
      <family val="0"/>
      <charset val="1"/>
    </font>
    <font>
      <b val="true"/>
      <sz val="11"/>
      <color rgb="FFC0503C"/>
      <name val="Arial"/>
      <family val="0"/>
      <charset val="1"/>
    </font>
    <font>
      <b val="true"/>
      <sz val="11"/>
      <color rgb="FF8C2F1E"/>
      <name val="Arial"/>
      <family val="0"/>
      <charset val="1"/>
    </font>
    <font>
      <b val="true"/>
      <sz val="11"/>
      <color rgb="FFFFFFFF"/>
      <name val="Arial"/>
      <family val="0"/>
      <charset val="1"/>
    </font>
    <font>
      <sz val="8.5"/>
      <color rgb="FF2A5F8F"/>
      <name val="Arial"/>
      <family val="0"/>
      <charset val="1"/>
    </font>
    <font>
      <sz val="8.5"/>
      <color rgb="FF9E6B14"/>
      <name val="Arial"/>
      <family val="0"/>
      <charset val="1"/>
    </font>
    <font>
      <sz val="8.5"/>
      <color rgb="FFB25A22"/>
      <name val="Arial"/>
      <family val="0"/>
      <charset val="1"/>
    </font>
    <font>
      <sz val="8.5"/>
      <color rgb="FFC0503C"/>
      <name val="Arial"/>
      <family val="0"/>
      <charset val="1"/>
    </font>
    <font>
      <sz val="8.5"/>
      <color rgb="FF8C2F1E"/>
      <name val="Arial"/>
      <family val="0"/>
      <charset val="1"/>
    </font>
    <font>
      <sz val="8.5"/>
      <color rgb="FFFFFFFF"/>
      <name val="Arial"/>
      <family val="0"/>
      <charset val="1"/>
    </font>
    <font>
      <b val="true"/>
      <sz val="10"/>
      <name val="Arial"/>
      <family val="0"/>
      <charset val="1"/>
    </font>
  </fonts>
  <fills count="15">
    <fill>
      <patternFill patternType="none"/>
    </fill>
    <fill>
      <patternFill patternType="gray125"/>
    </fill>
    <fill>
      <patternFill patternType="solid">
        <fgColor rgb="FFC74A72"/>
        <bgColor rgb="FFC0503C"/>
      </patternFill>
    </fill>
    <fill>
      <patternFill patternType="solid">
        <fgColor rgb="FFFDF6F8"/>
        <bgColor rgb="FFFDFAFB"/>
      </patternFill>
    </fill>
    <fill>
      <patternFill patternType="solid">
        <fgColor rgb="FFFFFFFF"/>
        <bgColor rgb="FFFCFBFC"/>
      </patternFill>
    </fill>
    <fill>
      <patternFill patternType="solid">
        <fgColor rgb="FFFDFAFB"/>
        <bgColor rgb="FFFCFBFC"/>
      </patternFill>
    </fill>
    <fill>
      <patternFill patternType="solid">
        <fgColor rgb="FFE8F4EE"/>
        <bgColor rgb="FFEAF1F7"/>
      </patternFill>
    </fill>
    <fill>
      <patternFill patternType="solid">
        <fgColor rgb="FFFCF3E2"/>
        <bgColor rgb="FFFBECE8"/>
      </patternFill>
    </fill>
    <fill>
      <patternFill patternType="solid">
        <fgColor rgb="FFFBECE8"/>
        <bgColor rgb="FFFBECF1"/>
      </patternFill>
    </fill>
    <fill>
      <patternFill patternType="solid">
        <fgColor rgb="FFFBECF1"/>
        <bgColor rgb="FFFBECE8"/>
      </patternFill>
    </fill>
    <fill>
      <patternFill patternType="solid">
        <fgColor rgb="FFFCFBFC"/>
        <bgColor rgb="FFFDFAFB"/>
      </patternFill>
    </fill>
    <fill>
      <patternFill patternType="solid">
        <fgColor rgb="FFA33A5C"/>
        <bgColor rgb="FFC74A72"/>
      </patternFill>
    </fill>
    <fill>
      <patternFill patternType="solid">
        <fgColor rgb="FFEAF1F7"/>
        <bgColor rgb="FFE8F4EE"/>
      </patternFill>
    </fill>
    <fill>
      <patternFill patternType="solid">
        <fgColor rgb="FFFBE6DD"/>
        <bgColor rgb="FFFBECE8"/>
      </patternFill>
    </fill>
    <fill>
      <patternFill patternType="solid">
        <fgColor rgb="FFF5CFC7"/>
        <bgColor rgb="FFE3D6DB"/>
      </patternFill>
    </fill>
  </fills>
  <borders count="13">
    <border diagonalUp="false" diagonalDown="false">
      <left/>
      <right/>
      <top/>
      <bottom/>
      <diagonal/>
    </border>
    <border diagonalUp="false" diagonalDown="false">
      <left style="thin">
        <color rgb="FFE3D6DB"/>
      </left>
      <right style="thin">
        <color rgb="FFE3D6DB"/>
      </right>
      <top style="thin">
        <color rgb="FFE3D6DB"/>
      </top>
      <bottom style="thin">
        <color rgb="FFE3D6DB"/>
      </bottom>
      <diagonal/>
    </border>
    <border diagonalUp="false" diagonalDown="false">
      <left style="thin">
        <color rgb="FF2F7D5A"/>
      </left>
      <right style="thin">
        <color rgb="FF2F7D5A"/>
      </right>
      <top style="thin">
        <color rgb="FF2F7D5A"/>
      </top>
      <bottom style="thin">
        <color rgb="FF2F7D5A"/>
      </bottom>
      <diagonal/>
    </border>
    <border diagonalUp="false" diagonalDown="false">
      <left style="thin">
        <color rgb="FF9E6B14"/>
      </left>
      <right style="thin">
        <color rgb="FF9E6B14"/>
      </right>
      <top style="thin">
        <color rgb="FF9E6B14"/>
      </top>
      <bottom style="thin">
        <color rgb="FF9E6B14"/>
      </bottom>
      <diagonal/>
    </border>
    <border diagonalUp="false" diagonalDown="false">
      <left style="thin">
        <color rgb="FFC0503C"/>
      </left>
      <right style="thin">
        <color rgb="FFC0503C"/>
      </right>
      <top style="thin">
        <color rgb="FFC0503C"/>
      </top>
      <bottom style="thin">
        <color rgb="FFC0503C"/>
      </bottom>
      <diagonal/>
    </border>
    <border diagonalUp="false" diagonalDown="false">
      <left style="medium">
        <color rgb="FFC74A72"/>
      </left>
      <right/>
      <top style="thin">
        <color rgb="FFEEE4E8"/>
      </top>
      <bottom/>
      <diagonal/>
    </border>
    <border diagonalUp="false" diagonalDown="false">
      <left style="thin">
        <color rgb="FFEEE4E8"/>
      </left>
      <right style="thin">
        <color rgb="FFEEE4E8"/>
      </right>
      <top style="thin">
        <color rgb="FFEEE4E8"/>
      </top>
      <bottom style="medium">
        <color rgb="FFA33A5C"/>
      </bottom>
      <diagonal/>
    </border>
    <border diagonalUp="false" diagonalDown="false">
      <left style="thin">
        <color rgb="FFEEE4E8"/>
      </left>
      <right style="thin">
        <color rgb="FFEEE4E8"/>
      </right>
      <top style="thin">
        <color rgb="FFEEE4E8"/>
      </top>
      <bottom style="thin">
        <color rgb="FFEEE4E8"/>
      </bottom>
      <diagonal/>
    </border>
    <border diagonalUp="false" diagonalDown="false">
      <left style="thin">
        <color rgb="FFEEE4E8"/>
      </left>
      <right style="thin">
        <color rgb="FFEEE4E8"/>
      </right>
      <top style="thin">
        <color rgb="FFEEE4E8"/>
      </top>
      <bottom/>
      <diagonal/>
    </border>
    <border diagonalUp="false" diagonalDown="false">
      <left/>
      <right/>
      <top style="thin">
        <color rgb="FFEEE4E8"/>
      </top>
      <bottom style="thin">
        <color rgb="FFEEE4E8"/>
      </bottom>
      <diagonal/>
    </border>
    <border diagonalUp="false" diagonalDown="false">
      <left style="thin">
        <color rgb="FFEEE4E8"/>
      </left>
      <right style="thin">
        <color rgb="FFEEE4E8"/>
      </right>
      <top/>
      <bottom/>
      <diagonal/>
    </border>
    <border diagonalUp="false" diagonalDown="false">
      <left style="thin">
        <color rgb="FFEEE4E8"/>
      </left>
      <right style="thin">
        <color rgb="FFEEE4E8"/>
      </right>
      <top/>
      <bottom style="thin">
        <color rgb="FFEEE4E8"/>
      </bottom>
      <diagonal/>
    </border>
    <border diagonalUp="false" diagonalDown="false">
      <left style="thin">
        <color rgb="FFEEE4E8"/>
      </left>
      <right/>
      <top style="thin">
        <color rgb="FFEEE4E8"/>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3"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false" indent="0" shrinkToFit="false"/>
      <protection locked="true" hidden="false"/>
    </xf>
    <xf numFmtId="164" fontId="9" fillId="0" borderId="0" xfId="0" applyFont="true" applyBorder="true" applyAlignment="true" applyProtection="false">
      <alignment horizontal="general" vertical="top" textRotation="0" wrapText="true" indent="0" shrinkToFit="false"/>
      <protection locked="true" hidden="false"/>
    </xf>
    <xf numFmtId="164" fontId="10" fillId="4" borderId="1"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general" vertical="center" textRotation="0" wrapText="false" indent="1" shrinkToFit="false"/>
      <protection locked="true" hidden="false"/>
    </xf>
    <xf numFmtId="164" fontId="10" fillId="5" borderId="1" xfId="0" applyFont="true" applyBorder="true" applyAlignment="true" applyProtection="false">
      <alignment horizontal="center" vertical="center" textRotation="0" wrapText="false" indent="0" shrinkToFit="false"/>
      <protection locked="true" hidden="false"/>
    </xf>
    <xf numFmtId="164" fontId="10" fillId="6" borderId="2" xfId="0" applyFont="true" applyBorder="true" applyAlignment="true" applyProtection="false">
      <alignment horizontal="center" vertical="center" textRotation="0" wrapText="false" indent="0" shrinkToFit="false"/>
      <protection locked="true" hidden="false"/>
    </xf>
    <xf numFmtId="164" fontId="10" fillId="7" borderId="3" xfId="0" applyFont="true" applyBorder="true" applyAlignment="true" applyProtection="false">
      <alignment horizontal="center" vertical="center" textRotation="0" wrapText="false" indent="0" shrinkToFit="false"/>
      <protection locked="true" hidden="false"/>
    </xf>
    <xf numFmtId="164" fontId="10" fillId="8" borderId="4"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general" vertical="top" textRotation="0" wrapText="true" indent="1" shrinkToFit="false"/>
      <protection locked="true" hidden="false"/>
    </xf>
    <xf numFmtId="164" fontId="9" fillId="3" borderId="5" xfId="0" applyFont="true" applyBorder="true" applyAlignment="true" applyProtection="false">
      <alignment horizontal="general" vertical="top" textRotation="0" wrapText="true" indent="1" shrinkToFit="false"/>
      <protection locked="true" hidden="false"/>
    </xf>
    <xf numFmtId="164" fontId="11" fillId="2" borderId="6" xfId="0" applyFont="true" applyBorder="true" applyAlignment="true" applyProtection="false">
      <alignment horizontal="center" vertical="center" textRotation="0" wrapText="false" indent="0" shrinkToFit="false"/>
      <protection locked="true" hidden="false"/>
    </xf>
    <xf numFmtId="164" fontId="12" fillId="0" borderId="0" xfId="0" applyFont="true" applyBorder="false" applyAlignment="true" applyProtection="false">
      <alignment horizontal="center" vertical="center" textRotation="0" wrapText="false" indent="0" shrinkToFit="false"/>
      <protection locked="true" hidden="false"/>
    </xf>
    <xf numFmtId="165" fontId="13" fillId="5" borderId="7" xfId="0" applyFont="true" applyBorder="true" applyAlignment="true" applyProtection="false">
      <alignment horizontal="center" vertical="center" textRotation="0" wrapText="false" indent="0" shrinkToFit="false"/>
      <protection locked="true" hidden="false"/>
    </xf>
    <xf numFmtId="164" fontId="14" fillId="0" borderId="7" xfId="0" applyFont="true" applyBorder="true" applyAlignment="true" applyProtection="false">
      <alignment horizontal="left" vertical="center" textRotation="0" wrapText="false" indent="1" shrinkToFit="false"/>
      <protection locked="true" hidden="false"/>
    </xf>
    <xf numFmtId="164" fontId="14" fillId="0" borderId="7" xfId="0" applyFont="true" applyBorder="tru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15" fillId="7" borderId="8" xfId="0" applyFont="true" applyBorder="true" applyAlignment="true" applyProtection="false">
      <alignment horizontal="center" vertical="top" textRotation="0" wrapText="true" indent="1" shrinkToFit="false"/>
      <protection locked="true" hidden="false"/>
    </xf>
    <xf numFmtId="164" fontId="14" fillId="5" borderId="7" xfId="0" applyFont="true" applyBorder="true" applyAlignment="true" applyProtection="false">
      <alignment horizontal="left" vertical="center" textRotation="0" wrapText="false" indent="1" shrinkToFit="false"/>
      <protection locked="true" hidden="false"/>
    </xf>
    <xf numFmtId="164" fontId="14" fillId="5" borderId="7" xfId="0" applyFont="true" applyBorder="true" applyAlignment="true" applyProtection="false">
      <alignment horizontal="center" vertical="center" textRotation="0" wrapText="false" indent="0" shrinkToFit="false"/>
      <protection locked="true" hidden="false"/>
    </xf>
    <xf numFmtId="164" fontId="16" fillId="9" borderId="9" xfId="0" applyFont="true" applyBorder="true" applyAlignment="true" applyProtection="false">
      <alignment horizontal="general" vertical="center" textRotation="0" wrapText="false" indent="0" shrinkToFit="false"/>
      <protection locked="true" hidden="false"/>
    </xf>
    <xf numFmtId="164" fontId="17" fillId="9" borderId="9" xfId="0" applyFont="true" applyBorder="true" applyAlignment="true" applyProtection="false">
      <alignment horizontal="right" vertical="center" textRotation="0" wrapText="false" indent="0" shrinkToFit="false"/>
      <protection locked="true" hidden="false"/>
    </xf>
    <xf numFmtId="166" fontId="18" fillId="9" borderId="9" xfId="0" applyFont="true" applyBorder="true" applyAlignment="true" applyProtection="false">
      <alignment horizontal="left" vertical="center" textRotation="0" wrapText="false" indent="1" shrinkToFit="false"/>
      <protection locked="true" hidden="false"/>
    </xf>
    <xf numFmtId="167" fontId="18" fillId="9" borderId="9" xfId="0" applyFont="true" applyBorder="true" applyAlignment="true" applyProtection="false">
      <alignment horizontal="left" vertical="center" textRotation="0" wrapText="false" indent="1" shrinkToFit="false"/>
      <protection locked="true" hidden="false"/>
    </xf>
    <xf numFmtId="164" fontId="19" fillId="0" borderId="0" xfId="0" applyFont="true" applyBorder="true" applyAlignment="true" applyProtection="false">
      <alignment horizontal="general" vertical="bottom" textRotation="0" wrapText="false" indent="0" shrinkToFit="false"/>
      <protection locked="true" hidden="false"/>
    </xf>
    <xf numFmtId="168" fontId="20" fillId="0" borderId="0" xfId="0" applyFont="true" applyBorder="false" applyAlignment="true" applyProtection="false">
      <alignment horizontal="left" vertical="bottom" textRotation="0" wrapText="false" indent="0" shrinkToFit="false"/>
      <protection locked="true" hidden="false"/>
    </xf>
    <xf numFmtId="169" fontId="14" fillId="7" borderId="7" xfId="0" applyFont="true" applyBorder="true" applyAlignment="true" applyProtection="false">
      <alignment horizontal="center" vertical="center" textRotation="0" wrapText="false" indent="0" shrinkToFit="false"/>
      <protection locked="true" hidden="false"/>
    </xf>
    <xf numFmtId="164" fontId="14" fillId="7" borderId="7" xfId="0" applyFont="true" applyBorder="true" applyAlignment="true" applyProtection="false">
      <alignment horizontal="center" vertical="center" textRotation="0" wrapText="false" indent="1" shrinkToFit="false"/>
      <protection locked="true" hidden="false"/>
    </xf>
    <xf numFmtId="164" fontId="14" fillId="7" borderId="7" xfId="0" applyFont="true" applyBorder="true" applyAlignment="true" applyProtection="false">
      <alignment horizontal="left" vertical="center" textRotation="0" wrapText="false" indent="1" shrinkToFit="false"/>
      <protection locked="true" hidden="false"/>
    </xf>
    <xf numFmtId="167" fontId="14" fillId="7" borderId="7" xfId="0" applyFont="true" applyBorder="true" applyAlignment="true" applyProtection="false">
      <alignment horizontal="center" vertical="center" textRotation="0" wrapText="false" indent="0" shrinkToFit="false"/>
      <protection locked="true" hidden="false"/>
    </xf>
    <xf numFmtId="169" fontId="13" fillId="5" borderId="7" xfId="0" applyFont="true" applyBorder="true" applyAlignment="true" applyProtection="false">
      <alignment horizontal="center" vertical="center" textRotation="0" wrapText="false" indent="0" shrinkToFit="false"/>
      <protection locked="true" hidden="false"/>
    </xf>
    <xf numFmtId="170" fontId="14" fillId="7" borderId="7" xfId="0" applyFont="true" applyBorder="true" applyAlignment="true" applyProtection="false">
      <alignment horizontal="center" vertical="center" textRotation="0" wrapText="false" indent="1" shrinkToFit="false"/>
      <protection locked="true" hidden="false"/>
    </xf>
    <xf numFmtId="170" fontId="21" fillId="5" borderId="7" xfId="0" applyFont="true" applyBorder="true" applyAlignment="true" applyProtection="false">
      <alignment horizontal="center" vertical="center" textRotation="0" wrapText="false" indent="1" shrinkToFit="false"/>
      <protection locked="true" hidden="false"/>
    </xf>
    <xf numFmtId="164" fontId="13" fillId="5" borderId="7" xfId="0" applyFont="true" applyBorder="true" applyAlignment="true" applyProtection="false">
      <alignment horizontal="center" vertical="center" textRotation="0" wrapText="false" indent="0" shrinkToFit="false"/>
      <protection locked="true" hidden="false"/>
    </xf>
    <xf numFmtId="171" fontId="13" fillId="5" borderId="7" xfId="0" applyFont="true" applyBorder="true" applyAlignment="true" applyProtection="false">
      <alignment horizontal="center" vertical="center" textRotation="0" wrapText="false" indent="0" shrinkToFit="false"/>
      <protection locked="true" hidden="false"/>
    </xf>
    <xf numFmtId="169" fontId="14" fillId="0" borderId="7" xfId="0" applyFont="true" applyBorder="true" applyAlignment="true" applyProtection="false">
      <alignment horizontal="center" vertical="center" textRotation="0" wrapText="false" indent="0" shrinkToFit="false"/>
      <protection locked="true" hidden="false"/>
    </xf>
    <xf numFmtId="164" fontId="14" fillId="0" borderId="7" xfId="0" applyFont="true" applyBorder="true" applyAlignment="true" applyProtection="false">
      <alignment horizontal="center" vertical="center" textRotation="0" wrapText="false" indent="1" shrinkToFit="false"/>
      <protection locked="true" hidden="false"/>
    </xf>
    <xf numFmtId="167" fontId="14" fillId="0" borderId="7" xfId="0" applyFont="true" applyBorder="true" applyAlignment="true" applyProtection="false">
      <alignment horizontal="center" vertical="center" textRotation="0" wrapText="false" indent="0" shrinkToFit="false"/>
      <protection locked="true" hidden="false"/>
    </xf>
    <xf numFmtId="170" fontId="14" fillId="0" borderId="7" xfId="0" applyFont="true" applyBorder="true" applyAlignment="true" applyProtection="false">
      <alignment horizontal="center" vertical="center" textRotation="0" wrapText="false" indent="1" shrinkToFit="false"/>
      <protection locked="true" hidden="false"/>
    </xf>
    <xf numFmtId="169" fontId="14" fillId="10" borderId="7" xfId="0" applyFont="true" applyBorder="true" applyAlignment="true" applyProtection="false">
      <alignment horizontal="center" vertical="center" textRotation="0" wrapText="false" indent="0" shrinkToFit="false"/>
      <protection locked="true" hidden="false"/>
    </xf>
    <xf numFmtId="164" fontId="14" fillId="10" borderId="7" xfId="0" applyFont="true" applyBorder="true" applyAlignment="true" applyProtection="false">
      <alignment horizontal="center" vertical="center" textRotation="0" wrapText="false" indent="1" shrinkToFit="false"/>
      <protection locked="true" hidden="false"/>
    </xf>
    <xf numFmtId="164" fontId="14" fillId="10" borderId="7" xfId="0" applyFont="true" applyBorder="true" applyAlignment="true" applyProtection="false">
      <alignment horizontal="left" vertical="center" textRotation="0" wrapText="false" indent="1" shrinkToFit="false"/>
      <protection locked="true" hidden="false"/>
    </xf>
    <xf numFmtId="167" fontId="14" fillId="10" borderId="7" xfId="0" applyFont="true" applyBorder="true" applyAlignment="true" applyProtection="false">
      <alignment horizontal="center" vertical="center" textRotation="0" wrapText="false" indent="0" shrinkToFit="false"/>
      <protection locked="true" hidden="false"/>
    </xf>
    <xf numFmtId="170" fontId="14" fillId="10" borderId="7" xfId="0" applyFont="true" applyBorder="true" applyAlignment="true" applyProtection="false">
      <alignment horizontal="center" vertical="center" textRotation="0" wrapText="false" indent="1" shrinkToFit="false"/>
      <protection locked="true" hidden="false"/>
    </xf>
    <xf numFmtId="164" fontId="22" fillId="11" borderId="7" xfId="0" applyFont="true" applyBorder="true" applyAlignment="true" applyProtection="false">
      <alignment horizontal="center" vertical="center" textRotation="0" wrapText="false" indent="1" shrinkToFit="false"/>
      <protection locked="true" hidden="false"/>
    </xf>
    <xf numFmtId="166" fontId="22" fillId="11" borderId="7" xfId="0" applyFont="true" applyBorder="true" applyAlignment="true" applyProtection="false">
      <alignment horizontal="center" vertical="center" textRotation="0" wrapText="false" indent="1" shrinkToFit="false"/>
      <protection locked="true" hidden="false"/>
    </xf>
    <xf numFmtId="164" fontId="22" fillId="11" borderId="7" xfId="0" applyFont="true" applyBorder="true" applyAlignment="true" applyProtection="false">
      <alignment horizontal="center" vertical="bottom" textRotation="0" wrapText="false" indent="0" shrinkToFit="false"/>
      <protection locked="true" hidden="false"/>
    </xf>
    <xf numFmtId="164" fontId="24" fillId="0" borderId="0" xfId="0" applyFont="true" applyBorder="true" applyAlignment="true" applyProtection="false">
      <alignment horizontal="general" vertical="bottom" textRotation="0" wrapText="false" indent="0" shrinkToFit="false"/>
      <protection locked="true" hidden="false"/>
    </xf>
    <xf numFmtId="164" fontId="25" fillId="12" borderId="8" xfId="0" applyFont="true" applyBorder="true" applyAlignment="true" applyProtection="false">
      <alignment horizontal="center" vertical="center" textRotation="0" wrapText="true" indent="0" shrinkToFit="false"/>
      <protection locked="true" hidden="false"/>
    </xf>
    <xf numFmtId="164" fontId="26" fillId="7" borderId="8" xfId="0" applyFont="true" applyBorder="true" applyAlignment="true" applyProtection="false">
      <alignment horizontal="center" vertical="center" textRotation="0" wrapText="true" indent="0" shrinkToFit="false"/>
      <protection locked="true" hidden="false"/>
    </xf>
    <xf numFmtId="164" fontId="27" fillId="13" borderId="8" xfId="0" applyFont="true" applyBorder="true" applyAlignment="true" applyProtection="false">
      <alignment horizontal="center" vertical="center" textRotation="0" wrapText="true" indent="0" shrinkToFit="false"/>
      <protection locked="true" hidden="false"/>
    </xf>
    <xf numFmtId="164" fontId="28" fillId="8" borderId="8" xfId="0" applyFont="true" applyBorder="true" applyAlignment="true" applyProtection="false">
      <alignment horizontal="center" vertical="center" textRotation="0" wrapText="true" indent="0" shrinkToFit="false"/>
      <protection locked="true" hidden="false"/>
    </xf>
    <xf numFmtId="164" fontId="29" fillId="14" borderId="8" xfId="0" applyFont="true" applyBorder="true" applyAlignment="true" applyProtection="false">
      <alignment horizontal="center" vertical="center" textRotation="0" wrapText="true" indent="0" shrinkToFit="false"/>
      <protection locked="true" hidden="false"/>
    </xf>
    <xf numFmtId="164" fontId="30" fillId="11" borderId="8" xfId="0" applyFont="true" applyBorder="true" applyAlignment="true" applyProtection="false">
      <alignment horizontal="center" vertical="center" textRotation="0" wrapText="true" indent="0" shrinkToFit="false"/>
      <protection locked="true" hidden="false"/>
    </xf>
    <xf numFmtId="166" fontId="31" fillId="12" borderId="10" xfId="0" applyFont="true" applyBorder="true" applyAlignment="true" applyProtection="false">
      <alignment horizontal="center" vertical="center" textRotation="0" wrapText="false" indent="0" shrinkToFit="false"/>
      <protection locked="true" hidden="false"/>
    </xf>
    <xf numFmtId="166" fontId="32" fillId="7" borderId="10" xfId="0" applyFont="true" applyBorder="true" applyAlignment="true" applyProtection="false">
      <alignment horizontal="center" vertical="center" textRotation="0" wrapText="false" indent="0" shrinkToFit="false"/>
      <protection locked="true" hidden="false"/>
    </xf>
    <xf numFmtId="166" fontId="33" fillId="13" borderId="10" xfId="0" applyFont="true" applyBorder="true" applyAlignment="true" applyProtection="false">
      <alignment horizontal="center" vertical="center" textRotation="0" wrapText="false" indent="0" shrinkToFit="false"/>
      <protection locked="true" hidden="false"/>
    </xf>
    <xf numFmtId="166" fontId="34" fillId="8" borderId="10" xfId="0" applyFont="true" applyBorder="true" applyAlignment="true" applyProtection="false">
      <alignment horizontal="center" vertical="center" textRotation="0" wrapText="false" indent="0" shrinkToFit="false"/>
      <protection locked="true" hidden="false"/>
    </xf>
    <xf numFmtId="166" fontId="35" fillId="14" borderId="10" xfId="0" applyFont="true" applyBorder="true" applyAlignment="true" applyProtection="false">
      <alignment horizontal="center" vertical="center" textRotation="0" wrapText="false" indent="0" shrinkToFit="false"/>
      <protection locked="true" hidden="false"/>
    </xf>
    <xf numFmtId="166" fontId="36" fillId="11" borderId="10" xfId="0" applyFont="true" applyBorder="true" applyAlignment="true" applyProtection="false">
      <alignment horizontal="center" vertical="center" textRotation="0" wrapText="false" indent="0" shrinkToFit="false"/>
      <protection locked="true" hidden="false"/>
    </xf>
    <xf numFmtId="172" fontId="37" fillId="12" borderId="11" xfId="0" applyFont="true" applyBorder="true" applyAlignment="true" applyProtection="false">
      <alignment horizontal="center" vertical="center" textRotation="0" wrapText="false" indent="0" shrinkToFit="false"/>
      <protection locked="true" hidden="false"/>
    </xf>
    <xf numFmtId="172" fontId="38" fillId="7" borderId="11" xfId="0" applyFont="true" applyBorder="true" applyAlignment="true" applyProtection="false">
      <alignment horizontal="center" vertical="center" textRotation="0" wrapText="false" indent="0" shrinkToFit="false"/>
      <protection locked="true" hidden="false"/>
    </xf>
    <xf numFmtId="172" fontId="39" fillId="13" borderId="11" xfId="0" applyFont="true" applyBorder="true" applyAlignment="true" applyProtection="false">
      <alignment horizontal="center" vertical="center" textRotation="0" wrapText="false" indent="0" shrinkToFit="false"/>
      <protection locked="true" hidden="false"/>
    </xf>
    <xf numFmtId="172" fontId="40" fillId="8" borderId="11" xfId="0" applyFont="true" applyBorder="true" applyAlignment="true" applyProtection="false">
      <alignment horizontal="center" vertical="center" textRotation="0" wrapText="false" indent="0" shrinkToFit="false"/>
      <protection locked="true" hidden="false"/>
    </xf>
    <xf numFmtId="172" fontId="41" fillId="14" borderId="11" xfId="0" applyFont="true" applyBorder="true" applyAlignment="true" applyProtection="false">
      <alignment horizontal="center" vertical="center" textRotation="0" wrapText="false" indent="0" shrinkToFit="false"/>
      <protection locked="true" hidden="false"/>
    </xf>
    <xf numFmtId="172" fontId="42" fillId="11" borderId="11" xfId="0" applyFont="true" applyBorder="true" applyAlignment="true" applyProtection="false">
      <alignment horizontal="center" vertical="center" textRotation="0" wrapText="false" indent="0" shrinkToFit="false"/>
      <protection locked="true" hidden="false"/>
    </xf>
    <xf numFmtId="164" fontId="15" fillId="0" borderId="0" xfId="0" applyFont="true" applyBorder="true" applyAlignment="true" applyProtection="false">
      <alignment horizontal="right" vertical="center" textRotation="0" wrapText="false" indent="0" shrinkToFit="false"/>
      <protection locked="true" hidden="false"/>
    </xf>
    <xf numFmtId="166" fontId="43" fillId="0" borderId="7" xfId="0" applyFont="true" applyBorder="true" applyAlignment="true" applyProtection="false">
      <alignment horizontal="center" vertical="center" textRotation="0" wrapText="false" indent="0" shrinkToFit="false"/>
      <protection locked="true" hidden="false"/>
    </xf>
    <xf numFmtId="165" fontId="13" fillId="4" borderId="7" xfId="0" applyFont="true" applyBorder="true" applyAlignment="true" applyProtection="false">
      <alignment horizontal="center" vertical="center" textRotation="0" wrapText="false" indent="0" shrinkToFit="false"/>
      <protection locked="true" hidden="false"/>
    </xf>
    <xf numFmtId="164" fontId="13" fillId="4" borderId="7" xfId="0" applyFont="true" applyBorder="true" applyAlignment="true" applyProtection="false">
      <alignment horizontal="left" vertical="center" textRotation="0" wrapText="false" indent="1" shrinkToFit="false"/>
      <protection locked="true" hidden="false"/>
    </xf>
    <xf numFmtId="166" fontId="13" fillId="4" borderId="7" xfId="0" applyFont="true" applyBorder="true" applyAlignment="true" applyProtection="false">
      <alignment horizontal="center" vertical="center" textRotation="0" wrapText="false" indent="1" shrinkToFit="false"/>
      <protection locked="true" hidden="false"/>
    </xf>
    <xf numFmtId="166" fontId="21" fillId="4" borderId="7" xfId="0" applyFont="true" applyBorder="true" applyAlignment="true" applyProtection="false">
      <alignment horizontal="center" vertical="center" textRotation="0" wrapText="false" indent="1" shrinkToFit="false"/>
      <protection locked="true" hidden="false"/>
    </xf>
    <xf numFmtId="172" fontId="13" fillId="4" borderId="7" xfId="0" applyFont="true" applyBorder="true" applyAlignment="true" applyProtection="false">
      <alignment horizontal="center" vertical="center" textRotation="0" wrapText="false" indent="0" shrinkToFit="false"/>
      <protection locked="true" hidden="false"/>
    </xf>
    <xf numFmtId="164" fontId="13" fillId="5" borderId="7" xfId="0" applyFont="true" applyBorder="true" applyAlignment="true" applyProtection="false">
      <alignment horizontal="left" vertical="center" textRotation="0" wrapText="false" indent="1" shrinkToFit="false"/>
      <protection locked="true" hidden="false"/>
    </xf>
    <xf numFmtId="166" fontId="13" fillId="5" borderId="7" xfId="0" applyFont="true" applyBorder="true" applyAlignment="true" applyProtection="false">
      <alignment horizontal="center" vertical="center" textRotation="0" wrapText="false" indent="1" shrinkToFit="false"/>
      <protection locked="true" hidden="false"/>
    </xf>
    <xf numFmtId="166" fontId="21" fillId="5" borderId="7" xfId="0" applyFont="true" applyBorder="true" applyAlignment="true" applyProtection="false">
      <alignment horizontal="center" vertical="center" textRotation="0" wrapText="false" indent="1" shrinkToFit="false"/>
      <protection locked="true" hidden="false"/>
    </xf>
    <xf numFmtId="172" fontId="13" fillId="5" borderId="7" xfId="0" applyFont="true" applyBorder="true" applyAlignment="true" applyProtection="false">
      <alignment horizontal="center" vertical="center" textRotation="0" wrapText="false" indent="0" shrinkToFit="false"/>
      <protection locked="true" hidden="false"/>
    </xf>
    <xf numFmtId="172" fontId="22" fillId="11" borderId="7" xfId="0" applyFont="true" applyBorder="true" applyAlignment="true" applyProtection="false">
      <alignment horizontal="center" vertical="center" textRotation="0" wrapText="false" indent="1" shrinkToFit="false"/>
      <protection locked="true" hidden="false"/>
    </xf>
    <xf numFmtId="164" fontId="0" fillId="0" borderId="0" xfId="0" applyFont="false" applyBorder="false" applyAlignment="true" applyProtection="false">
      <alignment horizontal="left" vertical="center" textRotation="0" wrapText="false" indent="0" shrinkToFit="false"/>
      <protection locked="true" hidden="false"/>
    </xf>
    <xf numFmtId="164" fontId="15" fillId="7" borderId="12" xfId="0" applyFont="true" applyBorder="true" applyAlignment="true" applyProtection="false">
      <alignment horizontal="left" vertical="top" textRotation="0" wrapText="true" indent="1" shrinkToFit="false"/>
      <protection locked="true" hidden="false"/>
    </xf>
    <xf numFmtId="164" fontId="13" fillId="5" borderId="7" xfId="0" applyFont="true" applyBorder="true" applyAlignment="true" applyProtection="false">
      <alignment horizontal="center" vertical="center" textRotation="0" wrapText="false" indent="1" shrinkToFit="false"/>
      <protection locked="true" hidden="false"/>
    </xf>
    <xf numFmtId="164" fontId="14" fillId="4" borderId="7" xfId="0" applyFont="true" applyBorder="true" applyAlignment="true" applyProtection="false">
      <alignment horizontal="left" vertical="center" textRotation="0" wrapText="false" indent="1" shrinkToFit="false"/>
      <protection locked="true" hidden="false"/>
    </xf>
    <xf numFmtId="164" fontId="15" fillId="3" borderId="12" xfId="0" applyFont="true" applyBorder="true" applyAlignment="true" applyProtection="false">
      <alignment horizontal="center" vertical="top"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6">
    <dxf>
      <fill>
        <patternFill patternType="solid">
          <fgColor rgb="FFC74A72"/>
          <bgColor rgb="FF000000"/>
        </patternFill>
      </fill>
    </dxf>
    <dxf>
      <fill>
        <patternFill patternType="solid">
          <fgColor rgb="FFFDFAFB"/>
          <bgColor rgb="FF000000"/>
        </patternFill>
      </fill>
    </dxf>
    <dxf>
      <fill>
        <patternFill patternType="solid">
          <fgColor rgb="FF7C6C72"/>
          <bgColor rgb="FF000000"/>
        </patternFill>
      </fill>
    </dxf>
    <dxf>
      <fill>
        <patternFill patternType="solid">
          <fgColor rgb="FFFFFFFF"/>
          <bgColor rgb="FF000000"/>
        </patternFill>
      </fill>
    </dxf>
    <dxf>
      <fill>
        <patternFill patternType="solid">
          <bgColor rgb="FF000000"/>
        </patternFill>
      </fill>
    </dxf>
    <dxf>
      <fill>
        <patternFill patternType="solid">
          <fgColor rgb="FF0000FF"/>
          <bgColor rgb="FF000000"/>
        </patternFill>
      </fill>
    </dxf>
    <dxf>
      <fill>
        <patternFill patternType="solid">
          <fgColor rgb="FFFCF3E2"/>
          <bgColor rgb="FF000000"/>
        </patternFill>
      </fill>
    </dxf>
    <dxf>
      <fill>
        <patternFill patternType="solid">
          <fgColor rgb="FFFCFBFC"/>
          <bgColor rgb="FF000000"/>
        </patternFill>
      </fill>
    </dxf>
    <dxf>
      <fill>
        <patternFill patternType="solid">
          <fgColor rgb="FF2F7D5A"/>
          <bgColor rgb="FF000000"/>
        </patternFill>
      </fill>
    </dxf>
    <dxf>
      <fill>
        <patternFill patternType="solid">
          <fgColor rgb="FFC0503C"/>
          <bgColor rgb="FF000000"/>
        </patternFill>
      </fill>
    </dxf>
    <dxf>
      <fill>
        <patternFill patternType="solid">
          <fgColor rgb="FFFF0000"/>
          <bgColor rgb="FF000000"/>
        </patternFill>
      </fill>
    </dxf>
    <dxf>
      <fill>
        <patternFill patternType="solid">
          <fgColor rgb="FFE8F4EE"/>
          <bgColor rgb="FF000000"/>
        </patternFill>
      </fill>
    </dxf>
    <dxf>
      <fill>
        <patternFill patternType="solid">
          <fgColor rgb="FFEAF1F7"/>
          <bgColor rgb="FF000000"/>
        </patternFill>
      </fill>
    </dxf>
    <dxf>
      <fill>
        <patternFill patternType="solid">
          <fgColor rgb="FFFBE6DD"/>
          <bgColor rgb="FF000000"/>
        </patternFill>
      </fill>
    </dxf>
    <dxf>
      <fill>
        <patternFill patternType="solid">
          <fgColor rgb="FF2A5F8F"/>
          <bgColor rgb="FF000000"/>
        </patternFill>
      </fill>
    </dxf>
    <dxf>
      <fill>
        <patternFill patternType="solid">
          <fgColor rgb="FFB25A22"/>
          <bgColor rgb="FF000000"/>
        </patternFill>
      </fill>
    </dxf>
    <dxf>
      <font>
        <name val="Arial"/>
        <charset val="1"/>
        <family val="0"/>
        <b val="1"/>
        <color rgb="FF2F7D5A"/>
        <sz val="9"/>
      </font>
      <fill>
        <patternFill>
          <bgColor rgb="FFE8F4EE"/>
        </patternFill>
      </fill>
    </dxf>
    <dxf>
      <font>
        <name val="Arial"/>
        <charset val="1"/>
        <family val="0"/>
        <color rgb="FF2A5F8F"/>
        <sz val="9"/>
      </font>
      <fill>
        <patternFill>
          <bgColor rgb="FFEAF1F7"/>
        </patternFill>
      </fill>
    </dxf>
    <dxf>
      <font>
        <name val="Arial"/>
        <charset val="1"/>
        <family val="0"/>
        <b val="1"/>
        <color rgb="FF9E6B14"/>
        <sz val="9"/>
      </font>
      <fill>
        <patternFill>
          <bgColor rgb="FFFCF3E2"/>
        </patternFill>
      </fill>
    </dxf>
    <dxf>
      <font>
        <name val="Arial"/>
        <charset val="1"/>
        <family val="0"/>
        <b val="1"/>
        <color rgb="FFB25A22"/>
        <sz val="9"/>
      </font>
      <fill>
        <patternFill>
          <bgColor rgb="FFFBE6DD"/>
        </patternFill>
      </fill>
    </dxf>
    <dxf>
      <font>
        <name val="Arial"/>
        <charset val="1"/>
        <family val="0"/>
        <b val="1"/>
        <color rgb="FFC0503C"/>
        <sz val="9"/>
      </font>
      <fill>
        <patternFill>
          <bgColor rgb="FFFBECE8"/>
        </patternFill>
      </fill>
    </dxf>
    <dxf>
      <font>
        <name val="Arial"/>
        <charset val="1"/>
        <family val="0"/>
        <b val="1"/>
        <color rgb="FF8C2F1E"/>
        <sz val="9"/>
      </font>
      <fill>
        <patternFill>
          <bgColor rgb="FFF5CFC7"/>
        </patternFill>
      </fill>
    </dxf>
    <dxf>
      <font>
        <name val="Arial"/>
        <charset val="1"/>
        <family val="0"/>
        <b val="1"/>
        <color rgb="FF5B3F8F"/>
        <sz val="9"/>
      </font>
      <fill>
        <patternFill>
          <bgColor rgb="FFEDE7F6"/>
        </patternFill>
      </fill>
    </dxf>
    <dxf>
      <font>
        <name val="Arial"/>
        <charset val="1"/>
        <family val="0"/>
        <b val="1"/>
        <color rgb="FF2F7D5A"/>
        <sz val="9"/>
      </font>
    </dxf>
    <dxf>
      <font>
        <name val="Arial"/>
        <charset val="1"/>
        <family val="0"/>
        <color rgb="FFC0503C"/>
        <sz val="9"/>
      </font>
    </dxf>
    <dxf>
      <font>
        <name val="Arial"/>
        <charset val="1"/>
        <family val="0"/>
        <color rgb="FF2F7D5A"/>
        <sz val="9"/>
      </font>
      <fill>
        <patternFill>
          <bgColor rgb="FFE8F4EE"/>
        </patternFill>
      </fill>
    </dxf>
  </dxfs>
  <colors>
    <indexedColors>
      <rgbColor rgb="FF000000"/>
      <rgbColor rgb="FFFFFFFF"/>
      <rgbColor rgb="FFFF0000"/>
      <rgbColor rgb="FF00FF00"/>
      <rgbColor rgb="FF0000FF"/>
      <rgbColor rgb="FFFDFAFB"/>
      <rgbColor rgb="FFFF00FF"/>
      <rgbColor rgb="FF00FFFF"/>
      <rgbColor rgb="FF800000"/>
      <rgbColor rgb="FF008000"/>
      <rgbColor rgb="FF000080"/>
      <rgbColor rgb="FF9E6B14"/>
      <rgbColor rgb="FF800080"/>
      <rgbColor rgb="FF008080"/>
      <rgbColor rgb="FFEEE4E8"/>
      <rgbColor rgb="FF7C6C72"/>
      <rgbColor rgb="FF9999FF"/>
      <rgbColor rgb="FFA33A5C"/>
      <rgbColor rgb="FFFCF3E2"/>
      <rgbColor rgb="FFE8F4EE"/>
      <rgbColor rgb="FF660066"/>
      <rgbColor rgb="FFFF8080"/>
      <rgbColor rgb="FF2A5F8F"/>
      <rgbColor rgb="FFE3D6DB"/>
      <rgbColor rgb="FF000080"/>
      <rgbColor rgb="FFFF00FF"/>
      <rgbColor rgb="FFFCFBFC"/>
      <rgbColor rgb="FF00FFFF"/>
      <rgbColor rgb="FF800080"/>
      <rgbColor rgb="FF800000"/>
      <rgbColor rgb="FF008080"/>
      <rgbColor rgb="FF0000FF"/>
      <rgbColor rgb="FF00CCFF"/>
      <rgbColor rgb="FFEAF1F7"/>
      <rgbColor rgb="FFEDE7F6"/>
      <rgbColor rgb="FFFBE6DD"/>
      <rgbColor rgb="FFFBECF1"/>
      <rgbColor rgb="FFFBECE8"/>
      <rgbColor rgb="FFFDF6F8"/>
      <rgbColor rgb="FFF5CFC7"/>
      <rgbColor rgb="FF3366FF"/>
      <rgbColor rgb="FF33CCCC"/>
      <rgbColor rgb="FF99CC00"/>
      <rgbColor rgb="FFFFCC00"/>
      <rgbColor rgb="FFFF9900"/>
      <rgbColor rgb="FFC0503C"/>
      <rgbColor rgb="FFB25A22"/>
      <rgbColor rgb="FF969696"/>
      <rgbColor rgb="FF003366"/>
      <rgbColor rgb="FF2F7D5A"/>
      <rgbColor rgb="FF003300"/>
      <rgbColor rgb="FF1C1418"/>
      <rgbColor rgb="FF8C2F1E"/>
      <rgbColor rgb="FFC74A72"/>
      <rgbColor rgb="FF5B3F8F"/>
      <rgbColor rgb="FF4A3D42"/>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2.xml"/><Relationship Id="rId3" Type="http://schemas.openxmlformats.org/officeDocument/2006/relationships/vmlDrawing" Target="../drawings/vmlDrawing1.vml"/>
</Relationships>
</file>

<file path=xl/worksheets/_rels/sheet5.xml.rels><?xml version="1.0" encoding="UTF-8"?>
<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3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30"/>
    <col collapsed="false" customWidth="true" hidden="false" outlineLevel="0" max="3" min="3" style="1" width="76"/>
    <col collapsed="false" customWidth="true" hidden="false" outlineLevel="0" max="8" min="4" style="1" width="10"/>
  </cols>
  <sheetData>
    <row r="1" customFormat="false" ht="30" hidden="false" customHeight="true" outlineLevel="0" collapsed="false">
      <c r="A1" s="2" t="s">
        <v>0</v>
      </c>
      <c r="B1" s="2"/>
      <c r="C1" s="2"/>
      <c r="D1" s="2"/>
      <c r="E1" s="2"/>
      <c r="F1" s="2"/>
      <c r="G1" s="2"/>
      <c r="H1" s="2"/>
    </row>
    <row r="2" customFormat="false" ht="19.5" hidden="false" customHeight="true" outlineLevel="0" collapsed="false">
      <c r="A2" s="3" t="s">
        <v>1</v>
      </c>
      <c r="B2" s="3"/>
      <c r="C2" s="3"/>
      <c r="D2" s="3"/>
      <c r="E2" s="3"/>
      <c r="F2" s="3"/>
      <c r="G2" s="3"/>
      <c r="H2" s="3"/>
    </row>
    <row r="4" customFormat="false" ht="15" hidden="false" customHeight="true" outlineLevel="0" collapsed="false">
      <c r="B4" s="4" t="s">
        <v>2</v>
      </c>
    </row>
    <row r="5" customFormat="false" ht="18" hidden="false" customHeight="true" outlineLevel="0" collapsed="false">
      <c r="B5" s="5" t="s">
        <v>3</v>
      </c>
      <c r="C5" s="5"/>
    </row>
    <row r="7" customFormat="false" ht="15" hidden="false" customHeight="true" outlineLevel="0" collapsed="false">
      <c r="B7" s="4" t="s">
        <v>4</v>
      </c>
    </row>
    <row r="8" customFormat="false" ht="30" hidden="false" customHeight="true" outlineLevel="0" collapsed="false">
      <c r="B8" s="6" t="s">
        <v>5</v>
      </c>
      <c r="C8" s="7" t="s">
        <v>6</v>
      </c>
      <c r="D8" s="7"/>
      <c r="E8" s="7"/>
      <c r="F8" s="7"/>
      <c r="G8" s="7"/>
      <c r="H8" s="7"/>
    </row>
    <row r="9" customFormat="false" ht="30" hidden="false" customHeight="true" outlineLevel="0" collapsed="false">
      <c r="B9" s="6" t="s">
        <v>7</v>
      </c>
      <c r="C9" s="7" t="s">
        <v>8</v>
      </c>
      <c r="D9" s="7"/>
      <c r="E9" s="7"/>
      <c r="F9" s="7"/>
      <c r="G9" s="7"/>
      <c r="H9" s="7"/>
    </row>
    <row r="10" customFormat="false" ht="30" hidden="false" customHeight="true" outlineLevel="0" collapsed="false">
      <c r="B10" s="6" t="s">
        <v>9</v>
      </c>
      <c r="C10" s="7" t="s">
        <v>10</v>
      </c>
      <c r="D10" s="7"/>
      <c r="E10" s="7"/>
      <c r="F10" s="7"/>
      <c r="G10" s="7"/>
      <c r="H10" s="7"/>
    </row>
    <row r="11" customFormat="false" ht="30" hidden="false" customHeight="true" outlineLevel="0" collapsed="false">
      <c r="B11" s="6" t="s">
        <v>11</v>
      </c>
      <c r="C11" s="7" t="s">
        <v>12</v>
      </c>
      <c r="D11" s="7"/>
      <c r="E11" s="7"/>
      <c r="F11" s="7"/>
      <c r="G11" s="7"/>
      <c r="H11" s="7"/>
    </row>
    <row r="12" customFormat="false" ht="30" hidden="false" customHeight="true" outlineLevel="0" collapsed="false">
      <c r="B12" s="6" t="s">
        <v>13</v>
      </c>
      <c r="C12" s="7" t="s">
        <v>14</v>
      </c>
      <c r="D12" s="7"/>
      <c r="E12" s="7"/>
      <c r="F12" s="7"/>
      <c r="G12" s="7"/>
      <c r="H12" s="7"/>
    </row>
    <row r="14" customFormat="false" ht="15" hidden="false" customHeight="true" outlineLevel="0" collapsed="false">
      <c r="B14" s="4" t="s">
        <v>15</v>
      </c>
    </row>
    <row r="15" customFormat="false" ht="19.5" hidden="false" customHeight="true" outlineLevel="0" collapsed="false">
      <c r="B15" s="8" t="s">
        <v>16</v>
      </c>
      <c r="C15" s="9" t="s">
        <v>17</v>
      </c>
      <c r="D15" s="9"/>
      <c r="E15" s="9"/>
      <c r="F15" s="9"/>
      <c r="G15" s="9"/>
      <c r="H15" s="9"/>
    </row>
    <row r="16" customFormat="false" ht="19.5" hidden="false" customHeight="true" outlineLevel="0" collapsed="false">
      <c r="B16" s="10" t="s">
        <v>18</v>
      </c>
      <c r="C16" s="9" t="s">
        <v>19</v>
      </c>
      <c r="D16" s="9"/>
      <c r="E16" s="9"/>
      <c r="F16" s="9"/>
      <c r="G16" s="9"/>
      <c r="H16" s="9"/>
    </row>
    <row r="17" customFormat="false" ht="19.5" hidden="false" customHeight="true" outlineLevel="0" collapsed="false">
      <c r="B17" s="11" t="s">
        <v>20</v>
      </c>
      <c r="C17" s="9" t="s">
        <v>21</v>
      </c>
      <c r="D17" s="9"/>
      <c r="E17" s="9"/>
      <c r="F17" s="9"/>
      <c r="G17" s="9"/>
      <c r="H17" s="9"/>
    </row>
    <row r="18" customFormat="false" ht="19.5" hidden="false" customHeight="true" outlineLevel="0" collapsed="false">
      <c r="B18" s="12" t="s">
        <v>22</v>
      </c>
      <c r="C18" s="9" t="s">
        <v>23</v>
      </c>
      <c r="D18" s="9"/>
      <c r="E18" s="9"/>
      <c r="F18" s="9"/>
      <c r="G18" s="9"/>
      <c r="H18" s="9"/>
    </row>
    <row r="19" customFormat="false" ht="19.5" hidden="false" customHeight="true" outlineLevel="0" collapsed="false">
      <c r="B19" s="13" t="s">
        <v>24</v>
      </c>
      <c r="C19" s="9" t="s">
        <v>25</v>
      </c>
      <c r="D19" s="9"/>
      <c r="E19" s="9"/>
      <c r="F19" s="9"/>
      <c r="G19" s="9"/>
      <c r="H19" s="9"/>
    </row>
    <row r="21" customFormat="false" ht="15" hidden="false" customHeight="true" outlineLevel="0" collapsed="false">
      <c r="B21" s="4" t="s">
        <v>26</v>
      </c>
    </row>
    <row r="22" customFormat="false" ht="25.5" hidden="false" customHeight="true" outlineLevel="0" collapsed="false">
      <c r="B22" s="14" t="s">
        <v>27</v>
      </c>
      <c r="C22" s="14"/>
      <c r="D22" s="14"/>
      <c r="E22" s="14"/>
      <c r="F22" s="14"/>
      <c r="G22" s="14"/>
      <c r="H22" s="14"/>
    </row>
    <row r="23" customFormat="false" ht="25.5" hidden="false" customHeight="true" outlineLevel="0" collapsed="false">
      <c r="B23" s="14" t="s">
        <v>28</v>
      </c>
      <c r="C23" s="14"/>
      <c r="D23" s="14"/>
      <c r="E23" s="14"/>
      <c r="F23" s="14"/>
      <c r="G23" s="14"/>
      <c r="H23" s="14"/>
    </row>
    <row r="24" customFormat="false" ht="25.5" hidden="false" customHeight="true" outlineLevel="0" collapsed="false">
      <c r="B24" s="14" t="s">
        <v>29</v>
      </c>
      <c r="C24" s="14"/>
      <c r="D24" s="14"/>
      <c r="E24" s="14"/>
      <c r="F24" s="14"/>
      <c r="G24" s="14"/>
      <c r="H24" s="14"/>
    </row>
    <row r="25" customFormat="false" ht="25.5" hidden="false" customHeight="true" outlineLevel="0" collapsed="false">
      <c r="B25" s="14" t="s">
        <v>30</v>
      </c>
      <c r="C25" s="14"/>
      <c r="D25" s="14"/>
      <c r="E25" s="14"/>
      <c r="F25" s="14"/>
      <c r="G25" s="14"/>
      <c r="H25" s="14"/>
    </row>
    <row r="27" customFormat="false" ht="24" hidden="false" customHeight="true" outlineLevel="0" collapsed="false">
      <c r="B27" s="15" t="s">
        <v>31</v>
      </c>
      <c r="C27" s="15"/>
      <c r="D27" s="15"/>
      <c r="E27" s="15"/>
      <c r="F27" s="15"/>
      <c r="G27" s="15"/>
      <c r="H27" s="15"/>
    </row>
    <row r="28" customFormat="false" ht="24" hidden="false" customHeight="true" outlineLevel="0" collapsed="false">
      <c r="B28" s="15"/>
      <c r="C28" s="15"/>
      <c r="D28" s="15"/>
      <c r="E28" s="15"/>
      <c r="F28" s="15"/>
      <c r="G28" s="15"/>
      <c r="H28" s="15"/>
    </row>
    <row r="29" customFormat="false" ht="24" hidden="false" customHeight="true" outlineLevel="0" collapsed="false">
      <c r="B29" s="15"/>
      <c r="C29" s="15"/>
      <c r="D29" s="15"/>
      <c r="E29" s="15"/>
      <c r="F29" s="15"/>
      <c r="G29" s="15"/>
      <c r="H29" s="15"/>
    </row>
    <row r="30" customFormat="false" ht="24" hidden="false" customHeight="true" outlineLevel="0" collapsed="false">
      <c r="B30" s="15"/>
      <c r="C30" s="15"/>
      <c r="D30" s="15"/>
      <c r="E30" s="15"/>
      <c r="F30" s="15"/>
      <c r="G30" s="15"/>
      <c r="H30" s="15"/>
    </row>
  </sheetData>
  <mergeCells count="18">
    <mergeCell ref="A1:H1"/>
    <mergeCell ref="A2:H2"/>
    <mergeCell ref="B5:C5"/>
    <mergeCell ref="C8:H8"/>
    <mergeCell ref="C9:H9"/>
    <mergeCell ref="C10:H10"/>
    <mergeCell ref="C11:H11"/>
    <mergeCell ref="C12:H12"/>
    <mergeCell ref="C15:H15"/>
    <mergeCell ref="C16:H16"/>
    <mergeCell ref="C17:H17"/>
    <mergeCell ref="C18:H18"/>
    <mergeCell ref="C19:H19"/>
    <mergeCell ref="B22:H22"/>
    <mergeCell ref="B23:H23"/>
    <mergeCell ref="B24:H24"/>
    <mergeCell ref="B25:H25"/>
    <mergeCell ref="B27:H30"/>
  </mergeCells>
  <printOptions headings="false" gridLines="false" gridLinesSet="true" horizontalCentered="true" verticalCentered="false"/>
  <pageMargins left="0.4" right="0.4" top="0.5" bottom="0.5" header="0.511811023622047" footer="0.511805555555556"/>
  <pageSetup paperSize="9" scale="100" fitToWidth="1" fitToHeight="0" pageOrder="downThenOver" orientation="portrait" blackAndWhite="false" draft="false" cellComments="none" horizontalDpi="300" verticalDpi="300" copies="1"/>
  <headerFooter differentFirst="false" differentOddEven="false">
    <oddHeader/>
    <oddFooter>&amp;L&amp;8 Kartu Piutang Umur Tagihan — Vita | Accurate Online&amp;R&amp;8 Halaman &amp;P dari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10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34"/>
    <col collapsed="false" customWidth="true" hidden="false" outlineLevel="0" max="3" min="3" style="1" width="24"/>
    <col collapsed="false" customWidth="true" hidden="false" outlineLevel="0" max="4" min="4" style="1" width="20"/>
    <col collapsed="false" customWidth="true" hidden="false" outlineLevel="0" max="5" min="5" style="1" width="18"/>
    <col collapsed="false" customWidth="true" hidden="false" outlineLevel="0" max="6" min="6" style="1" width="34"/>
    <col collapsed="false" customWidth="true" hidden="false" outlineLevel="0" max="8" min="8" style="1" width="46"/>
  </cols>
  <sheetData>
    <row r="1" customFormat="false" ht="30" hidden="false" customHeight="true" outlineLevel="0" collapsed="false">
      <c r="A1" s="2" t="s">
        <v>32</v>
      </c>
      <c r="B1" s="2"/>
      <c r="C1" s="2"/>
      <c r="D1" s="2"/>
      <c r="E1" s="2"/>
      <c r="F1" s="2"/>
    </row>
    <row r="2" customFormat="false" ht="19.5" hidden="false" customHeight="true" outlineLevel="0" collapsed="false">
      <c r="A2" s="3" t="s">
        <v>33</v>
      </c>
      <c r="B2" s="3"/>
      <c r="C2" s="3"/>
      <c r="D2" s="3"/>
      <c r="E2" s="3"/>
      <c r="F2" s="3"/>
    </row>
    <row r="5" customFormat="false" ht="21.75" hidden="false" customHeight="true" outlineLevel="0" collapsed="false">
      <c r="A5" s="16" t="s">
        <v>34</v>
      </c>
      <c r="B5" s="16" t="s">
        <v>35</v>
      </c>
      <c r="C5" s="16" t="s">
        <v>36</v>
      </c>
      <c r="D5" s="16" t="s">
        <v>37</v>
      </c>
      <c r="E5" s="16" t="s">
        <v>38</v>
      </c>
      <c r="F5" s="16" t="s">
        <v>39</v>
      </c>
      <c r="H5" s="17" t="s">
        <v>40</v>
      </c>
    </row>
    <row r="6" customFormat="false" ht="15" hidden="false" customHeight="true" outlineLevel="0" collapsed="false">
      <c r="A6" s="18" t="n">
        <f aca="false">IF($B6="","",ROW()-5)</f>
        <v>1</v>
      </c>
      <c r="B6" s="19" t="s">
        <v>41</v>
      </c>
      <c r="C6" s="19" t="s">
        <v>42</v>
      </c>
      <c r="D6" s="20" t="s">
        <v>43</v>
      </c>
      <c r="E6" s="20" t="n">
        <v>30</v>
      </c>
      <c r="F6" s="19" t="s">
        <v>44</v>
      </c>
      <c r="G6" s="21"/>
      <c r="H6" s="22" t="s">
        <v>45</v>
      </c>
    </row>
    <row r="7" customFormat="false" ht="15" hidden="false" customHeight="true" outlineLevel="0" collapsed="false">
      <c r="A7" s="18" t="n">
        <f aca="false">IF($B7="","",ROW()-5)</f>
        <v>2</v>
      </c>
      <c r="B7" s="23" t="s">
        <v>46</v>
      </c>
      <c r="C7" s="23" t="s">
        <v>47</v>
      </c>
      <c r="D7" s="24" t="s">
        <v>48</v>
      </c>
      <c r="E7" s="24" t="n">
        <v>45</v>
      </c>
      <c r="F7" s="23" t="s">
        <v>49</v>
      </c>
      <c r="G7" s="21"/>
      <c r="H7" s="22"/>
    </row>
    <row r="8" customFormat="false" ht="15" hidden="false" customHeight="true" outlineLevel="0" collapsed="false">
      <c r="A8" s="18" t="n">
        <f aca="false">IF($B8="","",ROW()-5)</f>
        <v>3</v>
      </c>
      <c r="B8" s="19" t="s">
        <v>50</v>
      </c>
      <c r="C8" s="19" t="s">
        <v>51</v>
      </c>
      <c r="D8" s="20" t="s">
        <v>52</v>
      </c>
      <c r="E8" s="20" t="n">
        <v>14</v>
      </c>
      <c r="F8" s="19"/>
      <c r="G8" s="21"/>
      <c r="H8" s="22"/>
    </row>
    <row r="9" customFormat="false" ht="15" hidden="false" customHeight="true" outlineLevel="0" collapsed="false">
      <c r="A9" s="18" t="n">
        <f aca="false">IF($B9="","",ROW()-5)</f>
        <v>4</v>
      </c>
      <c r="B9" s="23" t="s">
        <v>53</v>
      </c>
      <c r="C9" s="23" t="s">
        <v>54</v>
      </c>
      <c r="D9" s="24" t="s">
        <v>55</v>
      </c>
      <c r="E9" s="24" t="n">
        <v>60</v>
      </c>
      <c r="F9" s="23" t="s">
        <v>56</v>
      </c>
      <c r="G9" s="21"/>
      <c r="H9" s="22"/>
    </row>
    <row r="10" customFormat="false" ht="15" hidden="false" customHeight="true" outlineLevel="0" collapsed="false">
      <c r="A10" s="18" t="n">
        <f aca="false">IF($B10="","",ROW()-5)</f>
        <v>5</v>
      </c>
      <c r="B10" s="19" t="s">
        <v>57</v>
      </c>
      <c r="C10" s="19" t="s">
        <v>58</v>
      </c>
      <c r="D10" s="20" t="s">
        <v>59</v>
      </c>
      <c r="E10" s="20" t="n">
        <v>30</v>
      </c>
      <c r="F10" s="19"/>
      <c r="G10" s="21"/>
      <c r="H10" s="21"/>
    </row>
    <row r="11" customFormat="false" ht="15" hidden="false" customHeight="true" outlineLevel="0" collapsed="false">
      <c r="A11" s="18" t="n">
        <f aca="false">IF($B11="","",ROW()-5)</f>
        <v>6</v>
      </c>
      <c r="B11" s="23" t="s">
        <v>60</v>
      </c>
      <c r="C11" s="23" t="s">
        <v>61</v>
      </c>
      <c r="D11" s="24" t="s">
        <v>62</v>
      </c>
      <c r="E11" s="24" t="n">
        <v>14</v>
      </c>
      <c r="F11" s="23" t="s">
        <v>63</v>
      </c>
      <c r="G11" s="21"/>
      <c r="H11" s="21"/>
    </row>
    <row r="12" customFormat="false" ht="15" hidden="false" customHeight="true" outlineLevel="0" collapsed="false">
      <c r="A12" s="18" t="str">
        <f aca="false">IF($B12="","",ROW()-5)</f>
        <v/>
      </c>
      <c r="B12" s="19"/>
      <c r="C12" s="19"/>
      <c r="D12" s="20"/>
      <c r="E12" s="20"/>
      <c r="F12" s="19"/>
      <c r="G12" s="21"/>
      <c r="H12" s="21"/>
    </row>
    <row r="13" customFormat="false" ht="15" hidden="false" customHeight="true" outlineLevel="0" collapsed="false">
      <c r="A13" s="18" t="str">
        <f aca="false">IF($B13="","",ROW()-5)</f>
        <v/>
      </c>
      <c r="B13" s="23"/>
      <c r="C13" s="23"/>
      <c r="D13" s="24"/>
      <c r="E13" s="24"/>
      <c r="F13" s="23"/>
      <c r="G13" s="21"/>
      <c r="H13" s="21"/>
    </row>
    <row r="14" customFormat="false" ht="15" hidden="false" customHeight="true" outlineLevel="0" collapsed="false">
      <c r="A14" s="18" t="str">
        <f aca="false">IF($B14="","",ROW()-5)</f>
        <v/>
      </c>
      <c r="B14" s="19"/>
      <c r="C14" s="19"/>
      <c r="D14" s="20"/>
      <c r="E14" s="20"/>
      <c r="F14" s="19"/>
      <c r="G14" s="21"/>
      <c r="H14" s="21"/>
    </row>
    <row r="15" customFormat="false" ht="15" hidden="false" customHeight="true" outlineLevel="0" collapsed="false">
      <c r="A15" s="18" t="str">
        <f aca="false">IF($B15="","",ROW()-5)</f>
        <v/>
      </c>
      <c r="B15" s="23"/>
      <c r="C15" s="23"/>
      <c r="D15" s="24"/>
      <c r="E15" s="24"/>
      <c r="F15" s="23"/>
      <c r="G15" s="21"/>
      <c r="H15" s="21"/>
    </row>
    <row r="16" customFormat="false" ht="15" hidden="false" customHeight="true" outlineLevel="0" collapsed="false">
      <c r="A16" s="18" t="str">
        <f aca="false">IF($B16="","",ROW()-5)</f>
        <v/>
      </c>
      <c r="B16" s="19"/>
      <c r="C16" s="19"/>
      <c r="D16" s="20"/>
      <c r="E16" s="20"/>
      <c r="F16" s="19"/>
      <c r="G16" s="21"/>
      <c r="H16" s="21"/>
    </row>
    <row r="17" customFormat="false" ht="15" hidden="false" customHeight="true" outlineLevel="0" collapsed="false">
      <c r="A17" s="18" t="str">
        <f aca="false">IF($B17="","",ROW()-5)</f>
        <v/>
      </c>
      <c r="B17" s="23"/>
      <c r="C17" s="23"/>
      <c r="D17" s="24"/>
      <c r="E17" s="24"/>
      <c r="F17" s="23"/>
      <c r="G17" s="21"/>
      <c r="H17" s="21"/>
    </row>
    <row r="18" customFormat="false" ht="15" hidden="false" customHeight="true" outlineLevel="0" collapsed="false">
      <c r="A18" s="18" t="str">
        <f aca="false">IF($B18="","",ROW()-5)</f>
        <v/>
      </c>
      <c r="B18" s="19"/>
      <c r="C18" s="19"/>
      <c r="D18" s="20"/>
      <c r="E18" s="20"/>
      <c r="F18" s="19"/>
      <c r="G18" s="21"/>
      <c r="H18" s="21"/>
    </row>
    <row r="19" customFormat="false" ht="15" hidden="false" customHeight="true" outlineLevel="0" collapsed="false">
      <c r="A19" s="18" t="str">
        <f aca="false">IF($B19="","",ROW()-5)</f>
        <v/>
      </c>
      <c r="B19" s="23"/>
      <c r="C19" s="23"/>
      <c r="D19" s="24"/>
      <c r="E19" s="24"/>
      <c r="F19" s="23"/>
      <c r="G19" s="21"/>
      <c r="H19" s="21"/>
    </row>
    <row r="20" customFormat="false" ht="15" hidden="false" customHeight="true" outlineLevel="0" collapsed="false">
      <c r="A20" s="18" t="str">
        <f aca="false">IF($B20="","",ROW()-5)</f>
        <v/>
      </c>
      <c r="B20" s="19"/>
      <c r="C20" s="19"/>
      <c r="D20" s="20"/>
      <c r="E20" s="20"/>
      <c r="F20" s="19"/>
      <c r="G20" s="21"/>
      <c r="H20" s="21"/>
    </row>
    <row r="21" customFormat="false" ht="15" hidden="false" customHeight="true" outlineLevel="0" collapsed="false">
      <c r="A21" s="18" t="str">
        <f aca="false">IF($B21="","",ROW()-5)</f>
        <v/>
      </c>
      <c r="B21" s="23"/>
      <c r="C21" s="23"/>
      <c r="D21" s="24"/>
      <c r="E21" s="24"/>
      <c r="F21" s="23"/>
      <c r="G21" s="21"/>
      <c r="H21" s="21"/>
    </row>
    <row r="22" customFormat="false" ht="15" hidden="false" customHeight="true" outlineLevel="0" collapsed="false">
      <c r="A22" s="18" t="str">
        <f aca="false">IF($B22="","",ROW()-5)</f>
        <v/>
      </c>
      <c r="B22" s="19"/>
      <c r="C22" s="19"/>
      <c r="D22" s="20"/>
      <c r="E22" s="20"/>
      <c r="F22" s="19"/>
      <c r="G22" s="21"/>
      <c r="H22" s="21"/>
    </row>
    <row r="23" customFormat="false" ht="15" hidden="false" customHeight="true" outlineLevel="0" collapsed="false">
      <c r="A23" s="18" t="str">
        <f aca="false">IF($B23="","",ROW()-5)</f>
        <v/>
      </c>
      <c r="B23" s="23"/>
      <c r="C23" s="23"/>
      <c r="D23" s="24"/>
      <c r="E23" s="24"/>
      <c r="F23" s="23"/>
      <c r="G23" s="21"/>
      <c r="H23" s="21"/>
    </row>
    <row r="24" customFormat="false" ht="15" hidden="false" customHeight="true" outlineLevel="0" collapsed="false">
      <c r="A24" s="18" t="str">
        <f aca="false">IF($B24="","",ROW()-5)</f>
        <v/>
      </c>
      <c r="B24" s="19"/>
      <c r="C24" s="19"/>
      <c r="D24" s="20"/>
      <c r="E24" s="20"/>
      <c r="F24" s="19"/>
      <c r="G24" s="21"/>
      <c r="H24" s="21"/>
    </row>
    <row r="25" customFormat="false" ht="15" hidden="false" customHeight="true" outlineLevel="0" collapsed="false">
      <c r="A25" s="18" t="str">
        <f aca="false">IF($B25="","",ROW()-5)</f>
        <v/>
      </c>
      <c r="B25" s="23"/>
      <c r="C25" s="23"/>
      <c r="D25" s="24"/>
      <c r="E25" s="24"/>
      <c r="F25" s="23"/>
      <c r="G25" s="21"/>
      <c r="H25" s="21"/>
    </row>
    <row r="26" customFormat="false" ht="15" hidden="false" customHeight="true" outlineLevel="0" collapsed="false">
      <c r="A26" s="18" t="str">
        <f aca="false">IF($B26="","",ROW()-5)</f>
        <v/>
      </c>
      <c r="B26" s="19"/>
      <c r="C26" s="19"/>
      <c r="D26" s="20"/>
      <c r="E26" s="20"/>
      <c r="F26" s="19"/>
      <c r="G26" s="21"/>
      <c r="H26" s="21"/>
    </row>
    <row r="27" customFormat="false" ht="15" hidden="false" customHeight="true" outlineLevel="0" collapsed="false">
      <c r="A27" s="18" t="str">
        <f aca="false">IF($B27="","",ROW()-5)</f>
        <v/>
      </c>
      <c r="B27" s="23"/>
      <c r="C27" s="23"/>
      <c r="D27" s="24"/>
      <c r="E27" s="24"/>
      <c r="F27" s="23"/>
      <c r="G27" s="21"/>
      <c r="H27" s="21"/>
    </row>
    <row r="28" customFormat="false" ht="15" hidden="false" customHeight="true" outlineLevel="0" collapsed="false">
      <c r="A28" s="18" t="str">
        <f aca="false">IF($B28="","",ROW()-5)</f>
        <v/>
      </c>
      <c r="B28" s="19"/>
      <c r="C28" s="19"/>
      <c r="D28" s="20"/>
      <c r="E28" s="20"/>
      <c r="F28" s="19"/>
      <c r="G28" s="21"/>
      <c r="H28" s="21"/>
    </row>
    <row r="29" customFormat="false" ht="15" hidden="false" customHeight="true" outlineLevel="0" collapsed="false">
      <c r="A29" s="18" t="str">
        <f aca="false">IF($B29="","",ROW()-5)</f>
        <v/>
      </c>
      <c r="B29" s="23"/>
      <c r="C29" s="23"/>
      <c r="D29" s="24"/>
      <c r="E29" s="24"/>
      <c r="F29" s="23"/>
      <c r="G29" s="21"/>
      <c r="H29" s="21"/>
    </row>
    <row r="30" customFormat="false" ht="15" hidden="false" customHeight="true" outlineLevel="0" collapsed="false">
      <c r="A30" s="18" t="str">
        <f aca="false">IF($B30="","",ROW()-5)</f>
        <v/>
      </c>
      <c r="B30" s="19"/>
      <c r="C30" s="19"/>
      <c r="D30" s="20"/>
      <c r="E30" s="20"/>
      <c r="F30" s="19"/>
      <c r="G30" s="21"/>
      <c r="H30" s="21"/>
    </row>
    <row r="31" customFormat="false" ht="15" hidden="false" customHeight="true" outlineLevel="0" collapsed="false">
      <c r="A31" s="18" t="str">
        <f aca="false">IF($B31="","",ROW()-5)</f>
        <v/>
      </c>
      <c r="B31" s="23"/>
      <c r="C31" s="23"/>
      <c r="D31" s="24"/>
      <c r="E31" s="24"/>
      <c r="F31" s="23"/>
      <c r="G31" s="21"/>
      <c r="H31" s="21"/>
    </row>
    <row r="32" customFormat="false" ht="15" hidden="false" customHeight="true" outlineLevel="0" collapsed="false">
      <c r="A32" s="18" t="str">
        <f aca="false">IF($B32="","",ROW()-5)</f>
        <v/>
      </c>
      <c r="B32" s="19"/>
      <c r="C32" s="19"/>
      <c r="D32" s="20"/>
      <c r="E32" s="20"/>
      <c r="F32" s="19"/>
      <c r="G32" s="21"/>
      <c r="H32" s="21"/>
    </row>
    <row r="33" customFormat="false" ht="15" hidden="false" customHeight="true" outlineLevel="0" collapsed="false">
      <c r="A33" s="18" t="str">
        <f aca="false">IF($B33="","",ROW()-5)</f>
        <v/>
      </c>
      <c r="B33" s="23"/>
      <c r="C33" s="23"/>
      <c r="D33" s="24"/>
      <c r="E33" s="24"/>
      <c r="F33" s="23"/>
      <c r="G33" s="21"/>
      <c r="H33" s="21"/>
    </row>
    <row r="34" customFormat="false" ht="15" hidden="false" customHeight="true" outlineLevel="0" collapsed="false">
      <c r="A34" s="18" t="str">
        <f aca="false">IF($B34="","",ROW()-5)</f>
        <v/>
      </c>
      <c r="B34" s="19"/>
      <c r="C34" s="19"/>
      <c r="D34" s="20"/>
      <c r="E34" s="20"/>
      <c r="F34" s="19"/>
      <c r="G34" s="21"/>
      <c r="H34" s="21"/>
    </row>
    <row r="35" customFormat="false" ht="15" hidden="false" customHeight="true" outlineLevel="0" collapsed="false">
      <c r="A35" s="18" t="str">
        <f aca="false">IF($B35="","",ROW()-5)</f>
        <v/>
      </c>
      <c r="B35" s="23"/>
      <c r="C35" s="23"/>
      <c r="D35" s="24"/>
      <c r="E35" s="24"/>
      <c r="F35" s="23"/>
      <c r="G35" s="21"/>
      <c r="H35" s="21"/>
    </row>
    <row r="36" customFormat="false" ht="15" hidden="false" customHeight="true" outlineLevel="0" collapsed="false">
      <c r="A36" s="18" t="str">
        <f aca="false">IF($B36="","",ROW()-5)</f>
        <v/>
      </c>
      <c r="B36" s="19"/>
      <c r="C36" s="19"/>
      <c r="D36" s="20"/>
      <c r="E36" s="20"/>
      <c r="F36" s="19"/>
      <c r="G36" s="21"/>
      <c r="H36" s="21"/>
    </row>
    <row r="37" customFormat="false" ht="15" hidden="false" customHeight="true" outlineLevel="0" collapsed="false">
      <c r="A37" s="18" t="str">
        <f aca="false">IF($B37="","",ROW()-5)</f>
        <v/>
      </c>
      <c r="B37" s="23"/>
      <c r="C37" s="23"/>
      <c r="D37" s="24"/>
      <c r="E37" s="24"/>
      <c r="F37" s="23"/>
      <c r="G37" s="21"/>
      <c r="H37" s="21"/>
    </row>
    <row r="38" customFormat="false" ht="15" hidden="false" customHeight="true" outlineLevel="0" collapsed="false">
      <c r="A38" s="18" t="str">
        <f aca="false">IF($B38="","",ROW()-5)</f>
        <v/>
      </c>
      <c r="B38" s="19"/>
      <c r="C38" s="19"/>
      <c r="D38" s="20"/>
      <c r="E38" s="20"/>
      <c r="F38" s="19"/>
      <c r="G38" s="21"/>
      <c r="H38" s="21"/>
    </row>
    <row r="39" customFormat="false" ht="15" hidden="false" customHeight="true" outlineLevel="0" collapsed="false">
      <c r="A39" s="18" t="str">
        <f aca="false">IF($B39="","",ROW()-5)</f>
        <v/>
      </c>
      <c r="B39" s="23"/>
      <c r="C39" s="23"/>
      <c r="D39" s="24"/>
      <c r="E39" s="24"/>
      <c r="F39" s="23"/>
      <c r="G39" s="21"/>
      <c r="H39" s="21"/>
    </row>
    <row r="40" customFormat="false" ht="15" hidden="false" customHeight="true" outlineLevel="0" collapsed="false">
      <c r="A40" s="18" t="str">
        <f aca="false">IF($B40="","",ROW()-5)</f>
        <v/>
      </c>
      <c r="B40" s="19"/>
      <c r="C40" s="19"/>
      <c r="D40" s="20"/>
      <c r="E40" s="20"/>
      <c r="F40" s="19"/>
      <c r="G40" s="21"/>
      <c r="H40" s="21"/>
    </row>
    <row r="41" customFormat="false" ht="15" hidden="false" customHeight="true" outlineLevel="0" collapsed="false">
      <c r="A41" s="18" t="str">
        <f aca="false">IF($B41="","",ROW()-5)</f>
        <v/>
      </c>
      <c r="B41" s="23"/>
      <c r="C41" s="23"/>
      <c r="D41" s="24"/>
      <c r="E41" s="24"/>
      <c r="F41" s="23"/>
      <c r="G41" s="21"/>
      <c r="H41" s="21"/>
    </row>
    <row r="42" customFormat="false" ht="15" hidden="false" customHeight="true" outlineLevel="0" collapsed="false">
      <c r="A42" s="18" t="str">
        <f aca="false">IF($B42="","",ROW()-5)</f>
        <v/>
      </c>
      <c r="B42" s="19"/>
      <c r="C42" s="19"/>
      <c r="D42" s="20"/>
      <c r="E42" s="20"/>
      <c r="F42" s="19"/>
      <c r="G42" s="21"/>
      <c r="H42" s="21"/>
    </row>
    <row r="43" customFormat="false" ht="15" hidden="false" customHeight="true" outlineLevel="0" collapsed="false">
      <c r="A43" s="18" t="str">
        <f aca="false">IF($B43="","",ROW()-5)</f>
        <v/>
      </c>
      <c r="B43" s="23"/>
      <c r="C43" s="23"/>
      <c r="D43" s="24"/>
      <c r="E43" s="24"/>
      <c r="F43" s="23"/>
      <c r="G43" s="21"/>
      <c r="H43" s="21"/>
    </row>
    <row r="44" customFormat="false" ht="15" hidden="false" customHeight="true" outlineLevel="0" collapsed="false">
      <c r="A44" s="18" t="str">
        <f aca="false">IF($B44="","",ROW()-5)</f>
        <v/>
      </c>
      <c r="B44" s="19"/>
      <c r="C44" s="19"/>
      <c r="D44" s="20"/>
      <c r="E44" s="20"/>
      <c r="F44" s="19"/>
      <c r="G44" s="21"/>
      <c r="H44" s="21"/>
    </row>
    <row r="45" customFormat="false" ht="15" hidden="false" customHeight="true" outlineLevel="0" collapsed="false">
      <c r="A45" s="18" t="str">
        <f aca="false">IF($B45="","",ROW()-5)</f>
        <v/>
      </c>
      <c r="B45" s="23"/>
      <c r="C45" s="23"/>
      <c r="D45" s="24"/>
      <c r="E45" s="24"/>
      <c r="F45" s="23"/>
      <c r="G45" s="21"/>
      <c r="H45" s="21"/>
    </row>
    <row r="46" customFormat="false" ht="15" hidden="false" customHeight="true" outlineLevel="0" collapsed="false">
      <c r="A46" s="18" t="str">
        <f aca="false">IF($B46="","",ROW()-5)</f>
        <v/>
      </c>
      <c r="B46" s="19"/>
      <c r="C46" s="19"/>
      <c r="D46" s="20"/>
      <c r="E46" s="20"/>
      <c r="F46" s="19"/>
      <c r="G46" s="21"/>
      <c r="H46" s="21"/>
    </row>
    <row r="47" customFormat="false" ht="15" hidden="false" customHeight="true" outlineLevel="0" collapsed="false">
      <c r="A47" s="18" t="str">
        <f aca="false">IF($B47="","",ROW()-5)</f>
        <v/>
      </c>
      <c r="B47" s="23"/>
      <c r="C47" s="23"/>
      <c r="D47" s="24"/>
      <c r="E47" s="24"/>
      <c r="F47" s="23"/>
      <c r="G47" s="21"/>
      <c r="H47" s="21"/>
    </row>
    <row r="48" customFormat="false" ht="15" hidden="false" customHeight="true" outlineLevel="0" collapsed="false">
      <c r="A48" s="18" t="str">
        <f aca="false">IF($B48="","",ROW()-5)</f>
        <v/>
      </c>
      <c r="B48" s="19"/>
      <c r="C48" s="19"/>
      <c r="D48" s="20"/>
      <c r="E48" s="20"/>
      <c r="F48" s="19"/>
      <c r="G48" s="21"/>
      <c r="H48" s="21"/>
    </row>
    <row r="49" customFormat="false" ht="15" hidden="false" customHeight="true" outlineLevel="0" collapsed="false">
      <c r="A49" s="18" t="str">
        <f aca="false">IF($B49="","",ROW()-5)</f>
        <v/>
      </c>
      <c r="B49" s="23"/>
      <c r="C49" s="23"/>
      <c r="D49" s="24"/>
      <c r="E49" s="24"/>
      <c r="F49" s="23"/>
      <c r="G49" s="21"/>
      <c r="H49" s="21"/>
    </row>
    <row r="50" customFormat="false" ht="15" hidden="false" customHeight="true" outlineLevel="0" collapsed="false">
      <c r="A50" s="18" t="str">
        <f aca="false">IF($B50="","",ROW()-5)</f>
        <v/>
      </c>
      <c r="B50" s="19"/>
      <c r="C50" s="19"/>
      <c r="D50" s="20"/>
      <c r="E50" s="20"/>
      <c r="F50" s="19"/>
      <c r="G50" s="21"/>
      <c r="H50" s="21"/>
    </row>
    <row r="51" customFormat="false" ht="15" hidden="false" customHeight="true" outlineLevel="0" collapsed="false">
      <c r="A51" s="18" t="str">
        <f aca="false">IF($B51="","",ROW()-5)</f>
        <v/>
      </c>
      <c r="B51" s="23"/>
      <c r="C51" s="23"/>
      <c r="D51" s="24"/>
      <c r="E51" s="24"/>
      <c r="F51" s="23"/>
      <c r="G51" s="21"/>
      <c r="H51" s="21"/>
    </row>
    <row r="52" customFormat="false" ht="15" hidden="false" customHeight="true" outlineLevel="0" collapsed="false">
      <c r="A52" s="18" t="str">
        <f aca="false">IF($B52="","",ROW()-5)</f>
        <v/>
      </c>
      <c r="B52" s="19"/>
      <c r="C52" s="19"/>
      <c r="D52" s="20"/>
      <c r="E52" s="20"/>
      <c r="F52" s="19"/>
      <c r="G52" s="21"/>
      <c r="H52" s="21"/>
    </row>
    <row r="53" customFormat="false" ht="15" hidden="false" customHeight="true" outlineLevel="0" collapsed="false">
      <c r="A53" s="18" t="str">
        <f aca="false">IF($B53="","",ROW()-5)</f>
        <v/>
      </c>
      <c r="B53" s="23"/>
      <c r="C53" s="23"/>
      <c r="D53" s="24"/>
      <c r="E53" s="24"/>
      <c r="F53" s="23"/>
      <c r="G53" s="21"/>
      <c r="H53" s="21"/>
    </row>
    <row r="54" customFormat="false" ht="15" hidden="false" customHeight="true" outlineLevel="0" collapsed="false">
      <c r="A54" s="18" t="str">
        <f aca="false">IF($B54="","",ROW()-5)</f>
        <v/>
      </c>
      <c r="B54" s="19"/>
      <c r="C54" s="19"/>
      <c r="D54" s="20"/>
      <c r="E54" s="20"/>
      <c r="F54" s="19"/>
      <c r="G54" s="21"/>
      <c r="H54" s="21"/>
    </row>
    <row r="55" customFormat="false" ht="15" hidden="false" customHeight="true" outlineLevel="0" collapsed="false">
      <c r="A55" s="18" t="str">
        <f aca="false">IF($B55="","",ROW()-5)</f>
        <v/>
      </c>
      <c r="B55" s="23"/>
      <c r="C55" s="23"/>
      <c r="D55" s="24"/>
      <c r="E55" s="24"/>
      <c r="F55" s="23"/>
      <c r="G55" s="21"/>
      <c r="H55" s="21"/>
    </row>
    <row r="56" customFormat="false" ht="15" hidden="false" customHeight="true" outlineLevel="0" collapsed="false">
      <c r="A56" s="18" t="str">
        <f aca="false">IF($B56="","",ROW()-5)</f>
        <v/>
      </c>
      <c r="B56" s="19"/>
      <c r="C56" s="19"/>
      <c r="D56" s="20"/>
      <c r="E56" s="20"/>
      <c r="F56" s="19"/>
      <c r="G56" s="21"/>
      <c r="H56" s="21"/>
    </row>
    <row r="57" customFormat="false" ht="15" hidden="false" customHeight="true" outlineLevel="0" collapsed="false">
      <c r="A57" s="18" t="str">
        <f aca="false">IF($B57="","",ROW()-5)</f>
        <v/>
      </c>
      <c r="B57" s="23"/>
      <c r="C57" s="23"/>
      <c r="D57" s="24"/>
      <c r="E57" s="24"/>
      <c r="F57" s="23"/>
      <c r="G57" s="21"/>
      <c r="H57" s="21"/>
    </row>
    <row r="58" customFormat="false" ht="15" hidden="false" customHeight="true" outlineLevel="0" collapsed="false">
      <c r="A58" s="18" t="str">
        <f aca="false">IF($B58="","",ROW()-5)</f>
        <v/>
      </c>
      <c r="B58" s="19"/>
      <c r="C58" s="19"/>
      <c r="D58" s="20"/>
      <c r="E58" s="20"/>
      <c r="F58" s="19"/>
      <c r="G58" s="21"/>
      <c r="H58" s="21"/>
    </row>
    <row r="59" customFormat="false" ht="15" hidden="false" customHeight="true" outlineLevel="0" collapsed="false">
      <c r="A59" s="18" t="str">
        <f aca="false">IF($B59="","",ROW()-5)</f>
        <v/>
      </c>
      <c r="B59" s="23"/>
      <c r="C59" s="23"/>
      <c r="D59" s="24"/>
      <c r="E59" s="24"/>
      <c r="F59" s="23"/>
      <c r="G59" s="21"/>
      <c r="H59" s="21"/>
    </row>
    <row r="60" customFormat="false" ht="15" hidden="false" customHeight="true" outlineLevel="0" collapsed="false">
      <c r="A60" s="18" t="str">
        <f aca="false">IF($B60="","",ROW()-5)</f>
        <v/>
      </c>
      <c r="B60" s="19"/>
      <c r="C60" s="19"/>
      <c r="D60" s="20"/>
      <c r="E60" s="20"/>
      <c r="F60" s="19"/>
      <c r="G60" s="21"/>
      <c r="H60" s="21"/>
    </row>
    <row r="61" customFormat="false" ht="15" hidden="false" customHeight="true" outlineLevel="0" collapsed="false">
      <c r="A61" s="18" t="str">
        <f aca="false">IF($B61="","",ROW()-5)</f>
        <v/>
      </c>
      <c r="B61" s="23"/>
      <c r="C61" s="23"/>
      <c r="D61" s="24"/>
      <c r="E61" s="24"/>
      <c r="F61" s="23"/>
      <c r="G61" s="21"/>
      <c r="H61" s="21"/>
    </row>
    <row r="62" customFormat="false" ht="15" hidden="false" customHeight="true" outlineLevel="0" collapsed="false">
      <c r="A62" s="18" t="str">
        <f aca="false">IF($B62="","",ROW()-5)</f>
        <v/>
      </c>
      <c r="B62" s="19"/>
      <c r="C62" s="19"/>
      <c r="D62" s="20"/>
      <c r="E62" s="20"/>
      <c r="F62" s="19"/>
      <c r="G62" s="21"/>
      <c r="H62" s="21"/>
    </row>
    <row r="63" customFormat="false" ht="15" hidden="false" customHeight="true" outlineLevel="0" collapsed="false">
      <c r="A63" s="18" t="str">
        <f aca="false">IF($B63="","",ROW()-5)</f>
        <v/>
      </c>
      <c r="B63" s="23"/>
      <c r="C63" s="23"/>
      <c r="D63" s="24"/>
      <c r="E63" s="24"/>
      <c r="F63" s="23"/>
      <c r="G63" s="21"/>
      <c r="H63" s="21"/>
    </row>
    <row r="64" customFormat="false" ht="15" hidden="false" customHeight="true" outlineLevel="0" collapsed="false">
      <c r="A64" s="18" t="str">
        <f aca="false">IF($B64="","",ROW()-5)</f>
        <v/>
      </c>
      <c r="B64" s="19"/>
      <c r="C64" s="19"/>
      <c r="D64" s="20"/>
      <c r="E64" s="20"/>
      <c r="F64" s="19"/>
      <c r="G64" s="21"/>
      <c r="H64" s="21"/>
    </row>
    <row r="65" customFormat="false" ht="15" hidden="false" customHeight="true" outlineLevel="0" collapsed="false">
      <c r="A65" s="18" t="str">
        <f aca="false">IF($B65="","",ROW()-5)</f>
        <v/>
      </c>
      <c r="B65" s="23"/>
      <c r="C65" s="23"/>
      <c r="D65" s="24"/>
      <c r="E65" s="24"/>
      <c r="F65" s="23"/>
      <c r="G65" s="21"/>
      <c r="H65" s="21"/>
    </row>
    <row r="66" customFormat="false" ht="15" hidden="false" customHeight="true" outlineLevel="0" collapsed="false">
      <c r="A66" s="18" t="str">
        <f aca="false">IF($B66="","",ROW()-5)</f>
        <v/>
      </c>
      <c r="B66" s="19"/>
      <c r="C66" s="19"/>
      <c r="D66" s="20"/>
      <c r="E66" s="20"/>
      <c r="F66" s="19"/>
      <c r="G66" s="21"/>
      <c r="H66" s="21"/>
    </row>
    <row r="67" customFormat="false" ht="15" hidden="false" customHeight="true" outlineLevel="0" collapsed="false">
      <c r="A67" s="18" t="str">
        <f aca="false">IF($B67="","",ROW()-5)</f>
        <v/>
      </c>
      <c r="B67" s="23"/>
      <c r="C67" s="23"/>
      <c r="D67" s="24"/>
      <c r="E67" s="24"/>
      <c r="F67" s="23"/>
      <c r="G67" s="21"/>
      <c r="H67" s="21"/>
    </row>
    <row r="68" customFormat="false" ht="15" hidden="false" customHeight="true" outlineLevel="0" collapsed="false">
      <c r="A68" s="18" t="str">
        <f aca="false">IF($B68="","",ROW()-5)</f>
        <v/>
      </c>
      <c r="B68" s="19"/>
      <c r="C68" s="19"/>
      <c r="D68" s="20"/>
      <c r="E68" s="20"/>
      <c r="F68" s="19"/>
      <c r="G68" s="21"/>
      <c r="H68" s="21"/>
    </row>
    <row r="69" customFormat="false" ht="15" hidden="false" customHeight="true" outlineLevel="0" collapsed="false">
      <c r="A69" s="18" t="str">
        <f aca="false">IF($B69="","",ROW()-5)</f>
        <v/>
      </c>
      <c r="B69" s="23"/>
      <c r="C69" s="23"/>
      <c r="D69" s="24"/>
      <c r="E69" s="24"/>
      <c r="F69" s="23"/>
      <c r="G69" s="21"/>
      <c r="H69" s="21"/>
    </row>
    <row r="70" customFormat="false" ht="15" hidden="false" customHeight="true" outlineLevel="0" collapsed="false">
      <c r="A70" s="18" t="str">
        <f aca="false">IF($B70="","",ROW()-5)</f>
        <v/>
      </c>
      <c r="B70" s="19"/>
      <c r="C70" s="19"/>
      <c r="D70" s="20"/>
      <c r="E70" s="20"/>
      <c r="F70" s="19"/>
      <c r="G70" s="21"/>
      <c r="H70" s="21"/>
    </row>
    <row r="71" customFormat="false" ht="15" hidden="false" customHeight="true" outlineLevel="0" collapsed="false">
      <c r="A71" s="18" t="str">
        <f aca="false">IF($B71="","",ROW()-5)</f>
        <v/>
      </c>
      <c r="B71" s="23"/>
      <c r="C71" s="23"/>
      <c r="D71" s="24"/>
      <c r="E71" s="24"/>
      <c r="F71" s="23"/>
      <c r="G71" s="21"/>
      <c r="H71" s="21"/>
    </row>
    <row r="72" customFormat="false" ht="15" hidden="false" customHeight="true" outlineLevel="0" collapsed="false">
      <c r="A72" s="18" t="str">
        <f aca="false">IF($B72="","",ROW()-5)</f>
        <v/>
      </c>
      <c r="B72" s="19"/>
      <c r="C72" s="19"/>
      <c r="D72" s="20"/>
      <c r="E72" s="20"/>
      <c r="F72" s="19"/>
      <c r="G72" s="21"/>
      <c r="H72" s="21"/>
    </row>
    <row r="73" customFormat="false" ht="15" hidden="false" customHeight="true" outlineLevel="0" collapsed="false">
      <c r="A73" s="18" t="str">
        <f aca="false">IF($B73="","",ROW()-5)</f>
        <v/>
      </c>
      <c r="B73" s="23"/>
      <c r="C73" s="23"/>
      <c r="D73" s="24"/>
      <c r="E73" s="24"/>
      <c r="F73" s="23"/>
      <c r="G73" s="21"/>
      <c r="H73" s="21"/>
    </row>
    <row r="74" customFormat="false" ht="15" hidden="false" customHeight="true" outlineLevel="0" collapsed="false">
      <c r="A74" s="18" t="str">
        <f aca="false">IF($B74="","",ROW()-5)</f>
        <v/>
      </c>
      <c r="B74" s="19"/>
      <c r="C74" s="19"/>
      <c r="D74" s="20"/>
      <c r="E74" s="20"/>
      <c r="F74" s="19"/>
      <c r="G74" s="21"/>
      <c r="H74" s="21"/>
    </row>
    <row r="75" customFormat="false" ht="15" hidden="false" customHeight="true" outlineLevel="0" collapsed="false">
      <c r="A75" s="18" t="str">
        <f aca="false">IF($B75="","",ROW()-5)</f>
        <v/>
      </c>
      <c r="B75" s="23"/>
      <c r="C75" s="23"/>
      <c r="D75" s="24"/>
      <c r="E75" s="24"/>
      <c r="F75" s="23"/>
      <c r="G75" s="21"/>
      <c r="H75" s="21"/>
    </row>
    <row r="76" customFormat="false" ht="15" hidden="false" customHeight="true" outlineLevel="0" collapsed="false">
      <c r="A76" s="18" t="str">
        <f aca="false">IF($B76="","",ROW()-5)</f>
        <v/>
      </c>
      <c r="B76" s="19"/>
      <c r="C76" s="19"/>
      <c r="D76" s="20"/>
      <c r="E76" s="20"/>
      <c r="F76" s="19"/>
      <c r="G76" s="21"/>
      <c r="H76" s="21"/>
    </row>
    <row r="77" customFormat="false" ht="15" hidden="false" customHeight="true" outlineLevel="0" collapsed="false">
      <c r="A77" s="18" t="str">
        <f aca="false">IF($B77="","",ROW()-5)</f>
        <v/>
      </c>
      <c r="B77" s="23"/>
      <c r="C77" s="23"/>
      <c r="D77" s="24"/>
      <c r="E77" s="24"/>
      <c r="F77" s="23"/>
      <c r="G77" s="21"/>
      <c r="H77" s="21"/>
    </row>
    <row r="78" customFormat="false" ht="15" hidden="false" customHeight="true" outlineLevel="0" collapsed="false">
      <c r="A78" s="18" t="str">
        <f aca="false">IF($B78="","",ROW()-5)</f>
        <v/>
      </c>
      <c r="B78" s="19"/>
      <c r="C78" s="19"/>
      <c r="D78" s="20"/>
      <c r="E78" s="20"/>
      <c r="F78" s="19"/>
      <c r="G78" s="21"/>
      <c r="H78" s="21"/>
    </row>
    <row r="79" customFormat="false" ht="15" hidden="false" customHeight="true" outlineLevel="0" collapsed="false">
      <c r="A79" s="18" t="str">
        <f aca="false">IF($B79="","",ROW()-5)</f>
        <v/>
      </c>
      <c r="B79" s="23"/>
      <c r="C79" s="23"/>
      <c r="D79" s="24"/>
      <c r="E79" s="24"/>
      <c r="F79" s="23"/>
      <c r="G79" s="21"/>
      <c r="H79" s="21"/>
    </row>
    <row r="80" customFormat="false" ht="15" hidden="false" customHeight="true" outlineLevel="0" collapsed="false">
      <c r="A80" s="18" t="str">
        <f aca="false">IF($B80="","",ROW()-5)</f>
        <v/>
      </c>
      <c r="B80" s="19"/>
      <c r="C80" s="19"/>
      <c r="D80" s="20"/>
      <c r="E80" s="20"/>
      <c r="F80" s="19"/>
      <c r="G80" s="21"/>
      <c r="H80" s="21"/>
    </row>
    <row r="81" customFormat="false" ht="15" hidden="false" customHeight="true" outlineLevel="0" collapsed="false">
      <c r="A81" s="18" t="str">
        <f aca="false">IF($B81="","",ROW()-5)</f>
        <v/>
      </c>
      <c r="B81" s="23"/>
      <c r="C81" s="23"/>
      <c r="D81" s="24"/>
      <c r="E81" s="24"/>
      <c r="F81" s="23"/>
      <c r="G81" s="21"/>
      <c r="H81" s="21"/>
    </row>
    <row r="82" customFormat="false" ht="15" hidden="false" customHeight="true" outlineLevel="0" collapsed="false">
      <c r="A82" s="18" t="str">
        <f aca="false">IF($B82="","",ROW()-5)</f>
        <v/>
      </c>
      <c r="B82" s="19"/>
      <c r="C82" s="19"/>
      <c r="D82" s="20"/>
      <c r="E82" s="20"/>
      <c r="F82" s="19"/>
      <c r="G82" s="21"/>
      <c r="H82" s="21"/>
    </row>
    <row r="83" customFormat="false" ht="15" hidden="false" customHeight="true" outlineLevel="0" collapsed="false">
      <c r="A83" s="18" t="str">
        <f aca="false">IF($B83="","",ROW()-5)</f>
        <v/>
      </c>
      <c r="B83" s="23"/>
      <c r="C83" s="23"/>
      <c r="D83" s="24"/>
      <c r="E83" s="24"/>
      <c r="F83" s="23"/>
      <c r="G83" s="21"/>
      <c r="H83" s="21"/>
    </row>
    <row r="84" customFormat="false" ht="15" hidden="false" customHeight="true" outlineLevel="0" collapsed="false">
      <c r="A84" s="18" t="str">
        <f aca="false">IF($B84="","",ROW()-5)</f>
        <v/>
      </c>
      <c r="B84" s="19"/>
      <c r="C84" s="19"/>
      <c r="D84" s="20"/>
      <c r="E84" s="20"/>
      <c r="F84" s="19"/>
      <c r="G84" s="21"/>
      <c r="H84" s="21"/>
    </row>
    <row r="85" customFormat="false" ht="15" hidden="false" customHeight="true" outlineLevel="0" collapsed="false">
      <c r="A85" s="18" t="str">
        <f aca="false">IF($B85="","",ROW()-5)</f>
        <v/>
      </c>
      <c r="B85" s="23"/>
      <c r="C85" s="23"/>
      <c r="D85" s="24"/>
      <c r="E85" s="24"/>
      <c r="F85" s="23"/>
      <c r="G85" s="21"/>
      <c r="H85" s="21"/>
    </row>
    <row r="86" customFormat="false" ht="15" hidden="false" customHeight="true" outlineLevel="0" collapsed="false">
      <c r="A86" s="18" t="str">
        <f aca="false">IF($B86="","",ROW()-5)</f>
        <v/>
      </c>
      <c r="B86" s="19"/>
      <c r="C86" s="19"/>
      <c r="D86" s="20"/>
      <c r="E86" s="20"/>
      <c r="F86" s="19"/>
      <c r="G86" s="21"/>
      <c r="H86" s="21"/>
    </row>
    <row r="87" customFormat="false" ht="15" hidden="false" customHeight="true" outlineLevel="0" collapsed="false">
      <c r="A87" s="18" t="str">
        <f aca="false">IF($B87="","",ROW()-5)</f>
        <v/>
      </c>
      <c r="B87" s="23"/>
      <c r="C87" s="23"/>
      <c r="D87" s="24"/>
      <c r="E87" s="24"/>
      <c r="F87" s="23"/>
      <c r="G87" s="21"/>
      <c r="H87" s="21"/>
    </row>
    <row r="88" customFormat="false" ht="15" hidden="false" customHeight="true" outlineLevel="0" collapsed="false">
      <c r="A88" s="18" t="str">
        <f aca="false">IF($B88="","",ROW()-5)</f>
        <v/>
      </c>
      <c r="B88" s="19"/>
      <c r="C88" s="19"/>
      <c r="D88" s="20"/>
      <c r="E88" s="20"/>
      <c r="F88" s="19"/>
      <c r="G88" s="21"/>
      <c r="H88" s="21"/>
    </row>
    <row r="89" customFormat="false" ht="15" hidden="false" customHeight="true" outlineLevel="0" collapsed="false">
      <c r="A89" s="18" t="str">
        <f aca="false">IF($B89="","",ROW()-5)</f>
        <v/>
      </c>
      <c r="B89" s="23"/>
      <c r="C89" s="23"/>
      <c r="D89" s="24"/>
      <c r="E89" s="24"/>
      <c r="F89" s="23"/>
      <c r="G89" s="21"/>
      <c r="H89" s="21"/>
    </row>
    <row r="90" customFormat="false" ht="15" hidden="false" customHeight="true" outlineLevel="0" collapsed="false">
      <c r="A90" s="18" t="str">
        <f aca="false">IF($B90="","",ROW()-5)</f>
        <v/>
      </c>
      <c r="B90" s="19"/>
      <c r="C90" s="19"/>
      <c r="D90" s="20"/>
      <c r="E90" s="20"/>
      <c r="F90" s="19"/>
      <c r="G90" s="21"/>
      <c r="H90" s="21"/>
    </row>
    <row r="91" customFormat="false" ht="15" hidden="false" customHeight="true" outlineLevel="0" collapsed="false">
      <c r="A91" s="18" t="str">
        <f aca="false">IF($B91="","",ROW()-5)</f>
        <v/>
      </c>
      <c r="B91" s="23"/>
      <c r="C91" s="23"/>
      <c r="D91" s="24"/>
      <c r="E91" s="24"/>
      <c r="F91" s="23"/>
      <c r="G91" s="21"/>
      <c r="H91" s="21"/>
    </row>
    <row r="92" customFormat="false" ht="15" hidden="false" customHeight="true" outlineLevel="0" collapsed="false">
      <c r="A92" s="18" t="str">
        <f aca="false">IF($B92="","",ROW()-5)</f>
        <v/>
      </c>
      <c r="B92" s="19"/>
      <c r="C92" s="19"/>
      <c r="D92" s="20"/>
      <c r="E92" s="20"/>
      <c r="F92" s="19"/>
      <c r="G92" s="21"/>
      <c r="H92" s="21"/>
    </row>
    <row r="93" customFormat="false" ht="15" hidden="false" customHeight="true" outlineLevel="0" collapsed="false">
      <c r="A93" s="18" t="str">
        <f aca="false">IF($B93="","",ROW()-5)</f>
        <v/>
      </c>
      <c r="B93" s="23"/>
      <c r="C93" s="23"/>
      <c r="D93" s="24"/>
      <c r="E93" s="24"/>
      <c r="F93" s="23"/>
      <c r="G93" s="21"/>
      <c r="H93" s="21"/>
    </row>
    <row r="94" customFormat="false" ht="15" hidden="false" customHeight="true" outlineLevel="0" collapsed="false">
      <c r="A94" s="18" t="str">
        <f aca="false">IF($B94="","",ROW()-5)</f>
        <v/>
      </c>
      <c r="B94" s="19"/>
      <c r="C94" s="19"/>
      <c r="D94" s="20"/>
      <c r="E94" s="20"/>
      <c r="F94" s="19"/>
      <c r="G94" s="21"/>
      <c r="H94" s="21"/>
    </row>
    <row r="95" customFormat="false" ht="15" hidden="false" customHeight="true" outlineLevel="0" collapsed="false">
      <c r="A95" s="18" t="str">
        <f aca="false">IF($B95="","",ROW()-5)</f>
        <v/>
      </c>
      <c r="B95" s="23"/>
      <c r="C95" s="23"/>
      <c r="D95" s="24"/>
      <c r="E95" s="24"/>
      <c r="F95" s="23"/>
      <c r="G95" s="21"/>
      <c r="H95" s="21"/>
    </row>
    <row r="96" customFormat="false" ht="15" hidden="false" customHeight="true" outlineLevel="0" collapsed="false">
      <c r="A96" s="18" t="str">
        <f aca="false">IF($B96="","",ROW()-5)</f>
        <v/>
      </c>
      <c r="B96" s="19"/>
      <c r="C96" s="19"/>
      <c r="D96" s="20"/>
      <c r="E96" s="20"/>
      <c r="F96" s="19"/>
      <c r="G96" s="21"/>
      <c r="H96" s="21"/>
    </row>
    <row r="97" customFormat="false" ht="15" hidden="false" customHeight="true" outlineLevel="0" collapsed="false">
      <c r="A97" s="18" t="str">
        <f aca="false">IF($B97="","",ROW()-5)</f>
        <v/>
      </c>
      <c r="B97" s="23"/>
      <c r="C97" s="23"/>
      <c r="D97" s="24"/>
      <c r="E97" s="24"/>
      <c r="F97" s="23"/>
      <c r="G97" s="21"/>
      <c r="H97" s="21"/>
    </row>
    <row r="98" customFormat="false" ht="15" hidden="false" customHeight="true" outlineLevel="0" collapsed="false">
      <c r="A98" s="18" t="str">
        <f aca="false">IF($B98="","",ROW()-5)</f>
        <v/>
      </c>
      <c r="B98" s="19"/>
      <c r="C98" s="19"/>
      <c r="D98" s="20"/>
      <c r="E98" s="20"/>
      <c r="F98" s="19"/>
      <c r="G98" s="21"/>
      <c r="H98" s="21"/>
    </row>
    <row r="99" customFormat="false" ht="15" hidden="false" customHeight="true" outlineLevel="0" collapsed="false">
      <c r="A99" s="18" t="str">
        <f aca="false">IF($B99="","",ROW()-5)</f>
        <v/>
      </c>
      <c r="B99" s="23"/>
      <c r="C99" s="23"/>
      <c r="D99" s="24"/>
      <c r="E99" s="24"/>
      <c r="F99" s="23"/>
      <c r="G99" s="21"/>
      <c r="H99" s="21"/>
    </row>
    <row r="100" customFormat="false" ht="15" hidden="false" customHeight="true" outlineLevel="0" collapsed="false">
      <c r="A100" s="18" t="str">
        <f aca="false">IF($B100="","",ROW()-5)</f>
        <v/>
      </c>
      <c r="B100" s="19"/>
      <c r="C100" s="19"/>
      <c r="D100" s="20"/>
      <c r="E100" s="20"/>
      <c r="F100" s="19"/>
      <c r="G100" s="21"/>
      <c r="H100" s="21"/>
    </row>
    <row r="101" customFormat="false" ht="15" hidden="false" customHeight="true" outlineLevel="0" collapsed="false">
      <c r="A101" s="18" t="str">
        <f aca="false">IF($B101="","",ROW()-5)</f>
        <v/>
      </c>
      <c r="B101" s="23"/>
      <c r="C101" s="23"/>
      <c r="D101" s="24"/>
      <c r="E101" s="24"/>
      <c r="F101" s="23"/>
      <c r="G101" s="21"/>
      <c r="H101" s="21"/>
    </row>
    <row r="102" customFormat="false" ht="15" hidden="false" customHeight="true" outlineLevel="0" collapsed="false">
      <c r="A102" s="18" t="str">
        <f aca="false">IF($B102="","",ROW()-5)</f>
        <v/>
      </c>
      <c r="B102" s="19"/>
      <c r="C102" s="19"/>
      <c r="D102" s="20"/>
      <c r="E102" s="20"/>
      <c r="F102" s="19"/>
      <c r="G102" s="21"/>
      <c r="H102" s="21"/>
    </row>
    <row r="103" customFormat="false" ht="15" hidden="false" customHeight="true" outlineLevel="0" collapsed="false">
      <c r="A103" s="18" t="str">
        <f aca="false">IF($B103="","",ROW()-5)</f>
        <v/>
      </c>
      <c r="B103" s="23"/>
      <c r="C103" s="23"/>
      <c r="D103" s="24"/>
      <c r="E103" s="24"/>
      <c r="F103" s="23"/>
      <c r="G103" s="21"/>
      <c r="H103" s="21"/>
    </row>
    <row r="104" customFormat="false" ht="15" hidden="false" customHeight="true" outlineLevel="0" collapsed="false">
      <c r="A104" s="18" t="str">
        <f aca="false">IF($B104="","",ROW()-5)</f>
        <v/>
      </c>
      <c r="B104" s="19"/>
      <c r="C104" s="19"/>
      <c r="D104" s="20"/>
      <c r="E104" s="20"/>
      <c r="F104" s="19"/>
      <c r="G104" s="21"/>
      <c r="H104" s="21"/>
    </row>
    <row r="105" customFormat="false" ht="15" hidden="false" customHeight="true" outlineLevel="0" collapsed="false">
      <c r="A105" s="18" t="str">
        <f aca="false">IF($B105="","",ROW()-5)</f>
        <v/>
      </c>
      <c r="B105" s="23"/>
      <c r="C105" s="23"/>
      <c r="D105" s="24"/>
      <c r="E105" s="24"/>
      <c r="F105" s="23"/>
      <c r="G105" s="21"/>
      <c r="H105" s="21"/>
    </row>
  </sheetData>
  <autoFilter ref="A5:F105"/>
  <mergeCells count="3">
    <mergeCell ref="A1:F1"/>
    <mergeCell ref="A2:F2"/>
    <mergeCell ref="H6:H9"/>
  </mergeCells>
  <printOptions headings="false" gridLines="false" gridLinesSet="true" horizontalCentered="true" verticalCentered="false"/>
  <pageMargins left="0.4" right="0.4" top="0.5" bottom="0.5" header="0.511811023622047" footer="0.511805555555556"/>
  <pageSetup paperSize="9" scale="100" fitToWidth="1" fitToHeight="0" pageOrder="downThenOver" orientation="landscape" blackAndWhite="false" draft="false" cellComments="none" horizontalDpi="300" verticalDpi="300" copies="1"/>
  <headerFooter differentFirst="false" differentOddEven="false">
    <oddHeader/>
    <oddFooter>&amp;L&amp;8 Kartu Piutang Umur Tagihan — Vita | Accurate Online&amp;R&amp;8 Halaman &amp;P dari &amp;N</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N30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12"/>
    <col collapsed="false" customWidth="true" hidden="false" outlineLevel="0" max="3" min="3" style="1" width="15"/>
    <col collapsed="false" customWidth="true" hidden="false" outlineLevel="0" max="5" min="4" style="1" width="26"/>
    <col collapsed="false" customWidth="true" hidden="false" outlineLevel="0" max="6" min="6" style="1" width="8"/>
    <col collapsed="false" customWidth="true" hidden="false" outlineLevel="0" max="7" min="7" style="1" width="12"/>
    <col collapsed="false" customWidth="true" hidden="false" outlineLevel="0" max="10" min="8" style="1" width="16"/>
    <col collapsed="false" customWidth="true" hidden="false" outlineLevel="0" max="11" min="11" style="1" width="14"/>
    <col collapsed="false" customWidth="true" hidden="false" outlineLevel="0" max="12" min="12" style="1" width="11"/>
    <col collapsed="false" customWidth="true" hidden="false" outlineLevel="0" max="13" min="13" style="1" width="17"/>
    <col collapsed="false" customWidth="true" hidden="false" outlineLevel="0" max="14" min="14" style="1" width="9"/>
  </cols>
  <sheetData>
    <row r="1" customFormat="false" ht="30" hidden="false" customHeight="true" outlineLevel="0" collapsed="false">
      <c r="A1" s="2" t="s">
        <v>64</v>
      </c>
      <c r="B1" s="2"/>
      <c r="C1" s="2"/>
      <c r="D1" s="2"/>
      <c r="E1" s="2"/>
      <c r="F1" s="2"/>
      <c r="G1" s="2"/>
      <c r="H1" s="2"/>
      <c r="I1" s="2"/>
      <c r="J1" s="2"/>
      <c r="K1" s="2"/>
      <c r="L1" s="2"/>
      <c r="M1" s="2"/>
      <c r="N1" s="2"/>
    </row>
    <row r="2" customFormat="false" ht="19.5" hidden="false" customHeight="true" outlineLevel="0" collapsed="false">
      <c r="A2" s="3" t="s">
        <v>65</v>
      </c>
      <c r="B2" s="3"/>
      <c r="C2" s="3"/>
      <c r="D2" s="3"/>
      <c r="E2" s="3"/>
      <c r="F2" s="3"/>
      <c r="G2" s="3"/>
      <c r="H2" s="3"/>
      <c r="I2" s="3"/>
      <c r="J2" s="3"/>
      <c r="K2" s="3"/>
      <c r="L2" s="3"/>
      <c r="M2" s="3"/>
      <c r="N2" s="3"/>
    </row>
    <row r="4" customFormat="false" ht="21.75" hidden="false" customHeight="true" outlineLevel="0" collapsed="false">
      <c r="A4" s="25" t="s">
        <v>66</v>
      </c>
      <c r="B4" s="25"/>
      <c r="C4" s="25"/>
      <c r="D4" s="26" t="s">
        <v>67</v>
      </c>
      <c r="E4" s="27" t="n">
        <f aca="false">SUMIFS($J$8:$J$307,$J$8:$J$307,"&gt;0")</f>
        <v>45760000</v>
      </c>
      <c r="F4" s="26" t="s">
        <v>68</v>
      </c>
      <c r="G4" s="28" t="n">
        <f aca="false">COUNTIF($K$8:$K$307,"Belum Bayar")+COUNTIF($K$8:$K$307,"Bayar Sebagian")</f>
        <v>7</v>
      </c>
      <c r="H4" s="26" t="s">
        <v>69</v>
      </c>
      <c r="I4" s="27" t="n">
        <f aca="false">SUMIFS($J$8:$J$307,$L$8:$L$307,"&gt;0")</f>
        <v>7740000</v>
      </c>
      <c r="J4" s="26" t="s">
        <v>70</v>
      </c>
      <c r="K4" s="28" t="n">
        <f aca="false">IFERROR(MAX($L$8:$L$307),0)</f>
        <v>48</v>
      </c>
      <c r="L4" s="26" t="s">
        <v>71</v>
      </c>
      <c r="M4" s="28" t="n">
        <f aca="false">IFERROR(ROUND(SUMPRODUCT(($L$8:$L$307&gt;0)*$J$8:$J$307*$L$8:$L$307)/SUMIFS($J$8:$J$307,$L$8:$L$307,"&gt;0"),0),0)</f>
        <v>45</v>
      </c>
    </row>
    <row r="5" customFormat="false" ht="15.75" hidden="false" customHeight="true" outlineLevel="0" collapsed="false">
      <c r="A5" s="29" t="s">
        <v>72</v>
      </c>
      <c r="B5" s="29"/>
      <c r="C5" s="29"/>
      <c r="D5" s="29"/>
      <c r="E5" s="30" t="n">
        <f aca="true">TODAY()</f>
        <v>46238</v>
      </c>
    </row>
    <row r="7" customFormat="false" ht="21.75" hidden="false" customHeight="true" outlineLevel="0" collapsed="false">
      <c r="A7" s="16" t="s">
        <v>34</v>
      </c>
      <c r="B7" s="16" t="s">
        <v>73</v>
      </c>
      <c r="C7" s="16" t="s">
        <v>74</v>
      </c>
      <c r="D7" s="16" t="s">
        <v>75</v>
      </c>
      <c r="E7" s="16" t="s">
        <v>76</v>
      </c>
      <c r="F7" s="16" t="s">
        <v>77</v>
      </c>
      <c r="G7" s="16" t="s">
        <v>78</v>
      </c>
      <c r="H7" s="16" t="s">
        <v>79</v>
      </c>
      <c r="I7" s="16" t="s">
        <v>80</v>
      </c>
      <c r="J7" s="16" t="s">
        <v>81</v>
      </c>
      <c r="K7" s="16" t="s">
        <v>82</v>
      </c>
      <c r="L7" s="16" t="s">
        <v>83</v>
      </c>
      <c r="M7" s="16" t="s">
        <v>84</v>
      </c>
      <c r="N7" s="16" t="s">
        <v>85</v>
      </c>
    </row>
    <row r="8" customFormat="false" ht="15" hidden="false" customHeight="true" outlineLevel="0" collapsed="false">
      <c r="A8" s="18" t="n">
        <f aca="false">IF($C8="","",COUNTA($C$8:$C8))</f>
        <v>1</v>
      </c>
      <c r="B8" s="31" t="n">
        <v>46160</v>
      </c>
      <c r="C8" s="32" t="s">
        <v>86</v>
      </c>
      <c r="D8" s="33" t="s">
        <v>41</v>
      </c>
      <c r="E8" s="33" t="s">
        <v>87</v>
      </c>
      <c r="F8" s="34" t="n">
        <v>30</v>
      </c>
      <c r="G8" s="35" t="n">
        <f aca="false">IF(OR($B8="",$F8=""),"",$B8+$F8)</f>
        <v>46190</v>
      </c>
      <c r="H8" s="36" t="n">
        <v>6800000</v>
      </c>
      <c r="I8" s="36" t="n">
        <v>2000000</v>
      </c>
      <c r="J8" s="37" t="n">
        <f aca="false">IF($H8="",0,$H8-N($I8))</f>
        <v>4800000</v>
      </c>
      <c r="K8" s="38" t="str">
        <f aca="false">IF($H8="","",IF($J8&lt;0,"Lebih Bayar",IF($J8=0,"Lunas",IF(N($I8)&gt;0,"Bayar Sebagian","Belum Bayar"))))</f>
        <v>Bayar Sebagian</v>
      </c>
      <c r="L8" s="39" t="n">
        <f aca="true">IF(OR($H8="",$G8=""),0,IF($J8&lt;=0,0,TODAY()-$G8))</f>
        <v>48</v>
      </c>
      <c r="M8" s="38" t="str">
        <f aca="false">IF($H8="","",IF($J8&lt;0,"Lebih Bayar",IF($J8=0,"Lunas",IF($L8&lt;=0,"Belum Jatuh Tempo",IF($L8&lt;=30,"1-30 hari",IF($L8&lt;=60,"31-60 hari",IF($L8&lt;=90,"61-90 hari","Lebih dari 90 hari")))))))</f>
        <v>31-60 hari</v>
      </c>
      <c r="N8" s="18" t="n">
        <f aca="false">IF($H8="","",IF($L8&lt;=0,"",$L8*1000000+ROW()))</f>
        <v>48000008</v>
      </c>
    </row>
    <row r="9" customFormat="false" ht="15" hidden="false" customHeight="true" outlineLevel="0" collapsed="false">
      <c r="A9" s="18" t="n">
        <f aca="false">IF($C9="","",COUNTA($C$8:$C9))</f>
        <v>2</v>
      </c>
      <c r="B9" s="31" t="n">
        <v>46183</v>
      </c>
      <c r="C9" s="32" t="s">
        <v>88</v>
      </c>
      <c r="D9" s="33" t="s">
        <v>60</v>
      </c>
      <c r="E9" s="33" t="s">
        <v>89</v>
      </c>
      <c r="F9" s="34" t="n">
        <v>14</v>
      </c>
      <c r="G9" s="35" t="n">
        <f aca="false">IF(OR($B9="",$F9=""),"",$B9+$F9)</f>
        <v>46197</v>
      </c>
      <c r="H9" s="36" t="n">
        <v>2940000</v>
      </c>
      <c r="I9" s="36"/>
      <c r="J9" s="37" t="n">
        <f aca="false">IF($H9="",0,$H9-N($I9))</f>
        <v>2940000</v>
      </c>
      <c r="K9" s="38" t="str">
        <f aca="false">IF($H9="","",IF($J9&lt;0,"Lebih Bayar",IF($J9=0,"Lunas",IF(N($I9)&gt;0,"Bayar Sebagian","Belum Bayar"))))</f>
        <v>Belum Bayar</v>
      </c>
      <c r="L9" s="39" t="n">
        <f aca="true">IF(OR($H9="",$G9=""),0,IF($J9&lt;=0,0,TODAY()-$G9))</f>
        <v>41</v>
      </c>
      <c r="M9" s="38" t="str">
        <f aca="false">IF($H9="","",IF($J9&lt;0,"Lebih Bayar",IF($J9=0,"Lunas",IF($L9&lt;=0,"Belum Jatuh Tempo",IF($L9&lt;=30,"1-30 hari",IF($L9&lt;=60,"31-60 hari",IF($L9&lt;=90,"61-90 hari","Lebih dari 90 hari")))))))</f>
        <v>31-60 hari</v>
      </c>
      <c r="N9" s="18" t="n">
        <f aca="false">IF($H9="","",IF($L9&lt;=0,"",$L9*1000000+ROW()))</f>
        <v>41000009</v>
      </c>
    </row>
    <row r="10" customFormat="false" ht="15" hidden="false" customHeight="true" outlineLevel="0" collapsed="false">
      <c r="A10" s="18" t="n">
        <f aca="false">IF($C10="","",COUNTA($C$8:$C10))</f>
        <v>3</v>
      </c>
      <c r="B10" s="31" t="n">
        <v>46195</v>
      </c>
      <c r="C10" s="32" t="s">
        <v>90</v>
      </c>
      <c r="D10" s="33" t="s">
        <v>46</v>
      </c>
      <c r="E10" s="33" t="s">
        <v>91</v>
      </c>
      <c r="F10" s="34" t="n">
        <v>45</v>
      </c>
      <c r="G10" s="35" t="n">
        <f aca="false">IF(OR($B10="",$F10=""),"",$B10+$F10)</f>
        <v>46240</v>
      </c>
      <c r="H10" s="36" t="n">
        <v>9500000</v>
      </c>
      <c r="I10" s="36"/>
      <c r="J10" s="37" t="n">
        <f aca="false">IF($H10="",0,$H10-N($I10))</f>
        <v>9500000</v>
      </c>
      <c r="K10" s="38" t="str">
        <f aca="false">IF($H10="","",IF($J10&lt;0,"Lebih Bayar",IF($J10=0,"Lunas",IF(N($I10)&gt;0,"Bayar Sebagian","Belum Bayar"))))</f>
        <v>Belum Bayar</v>
      </c>
      <c r="L10" s="39" t="n">
        <f aca="true">IF(OR($H10="",$G10=""),0,IF($J10&lt;=0,0,TODAY()-$G10))</f>
        <v>-2</v>
      </c>
      <c r="M10" s="38" t="str">
        <f aca="false">IF($H10="","",IF($J10&lt;0,"Lebih Bayar",IF($J10=0,"Lunas",IF($L10&lt;=0,"Belum Jatuh Tempo",IF($L10&lt;=30,"1-30 hari",IF($L10&lt;=60,"31-60 hari",IF($L10&lt;=90,"61-90 hari","Lebih dari 90 hari")))))))</f>
        <v>Belum Jatuh Tempo</v>
      </c>
      <c r="N10" s="18" t="str">
        <f aca="false">IF($H10="","",IF($L10&lt;=0,"",$L10*1000000+ROW()))</f>
        <v/>
      </c>
    </row>
    <row r="11" customFormat="false" ht="15" hidden="false" customHeight="true" outlineLevel="0" collapsed="false">
      <c r="A11" s="18" t="n">
        <f aca="false">IF($C11="","",COUNTA($C$8:$C11))</f>
        <v>4</v>
      </c>
      <c r="B11" s="31" t="n">
        <v>46207</v>
      </c>
      <c r="C11" s="32" t="s">
        <v>92</v>
      </c>
      <c r="D11" s="33" t="s">
        <v>50</v>
      </c>
      <c r="E11" s="33" t="s">
        <v>93</v>
      </c>
      <c r="F11" s="34" t="n">
        <v>14</v>
      </c>
      <c r="G11" s="35" t="n">
        <f aca="false">IF(OR($B11="",$F11=""),"",$B11+$F11)</f>
        <v>46221</v>
      </c>
      <c r="H11" s="36" t="n">
        <v>1620000</v>
      </c>
      <c r="I11" s="36" t="n">
        <v>1620000</v>
      </c>
      <c r="J11" s="37" t="n">
        <f aca="false">IF($H11="",0,$H11-N($I11))</f>
        <v>0</v>
      </c>
      <c r="K11" s="38" t="str">
        <f aca="false">IF($H11="","",IF($J11&lt;0,"Lebih Bayar",IF($J11=0,"Lunas",IF(N($I11)&gt;0,"Bayar Sebagian","Belum Bayar"))))</f>
        <v>Lunas</v>
      </c>
      <c r="L11" s="39" t="n">
        <f aca="true">IF(OR($H11="",$G11=""),0,IF($J11&lt;=0,0,TODAY()-$G11))</f>
        <v>0</v>
      </c>
      <c r="M11" s="38" t="str">
        <f aca="false">IF($H11="","",IF($J11&lt;0,"Lebih Bayar",IF($J11=0,"Lunas",IF($L11&lt;=0,"Belum Jatuh Tempo",IF($L11&lt;=30,"1-30 hari",IF($L11&lt;=60,"31-60 hari",IF($L11&lt;=90,"61-90 hari","Lebih dari 90 hari")))))))</f>
        <v>Lunas</v>
      </c>
      <c r="N11" s="18" t="str">
        <f aca="false">IF($H11="","",IF($L11&lt;=0,"",$L11*1000000+ROW()))</f>
        <v/>
      </c>
    </row>
    <row r="12" customFormat="false" ht="15" hidden="false" customHeight="true" outlineLevel="0" collapsed="false">
      <c r="A12" s="18" t="n">
        <f aca="false">IF($C12="","",COUNTA($C$8:$C12))</f>
        <v>5</v>
      </c>
      <c r="B12" s="31" t="n">
        <v>46214</v>
      </c>
      <c r="C12" s="32" t="s">
        <v>94</v>
      </c>
      <c r="D12" s="33" t="s">
        <v>53</v>
      </c>
      <c r="E12" s="33" t="s">
        <v>95</v>
      </c>
      <c r="F12" s="34" t="n">
        <v>60</v>
      </c>
      <c r="G12" s="35" t="n">
        <f aca="false">IF(OR($B12="",$F12=""),"",$B12+$F12)</f>
        <v>46274</v>
      </c>
      <c r="H12" s="36" t="n">
        <v>18750000</v>
      </c>
      <c r="I12" s="36"/>
      <c r="J12" s="37" t="n">
        <f aca="false">IF($H12="",0,$H12-N($I12))</f>
        <v>18750000</v>
      </c>
      <c r="K12" s="38" t="str">
        <f aca="false">IF($H12="","",IF($J12&lt;0,"Lebih Bayar",IF($J12=0,"Lunas",IF(N($I12)&gt;0,"Bayar Sebagian","Belum Bayar"))))</f>
        <v>Belum Bayar</v>
      </c>
      <c r="L12" s="39" t="n">
        <f aca="true">IF(OR($H12="",$G12=""),0,IF($J12&lt;=0,0,TODAY()-$G12))</f>
        <v>-36</v>
      </c>
      <c r="M12" s="38" t="str">
        <f aca="false">IF($H12="","",IF($J12&lt;0,"Lebih Bayar",IF($J12=0,"Lunas",IF($L12&lt;=0,"Belum Jatuh Tempo",IF($L12&lt;=30,"1-30 hari",IF($L12&lt;=60,"31-60 hari",IF($L12&lt;=90,"61-90 hari","Lebih dari 90 hari")))))))</f>
        <v>Belum Jatuh Tempo</v>
      </c>
      <c r="N12" s="18" t="str">
        <f aca="false">IF($H12="","",IF($L12&lt;=0,"",$L12*1000000+ROW()))</f>
        <v/>
      </c>
    </row>
    <row r="13" customFormat="false" ht="15" hidden="false" customHeight="true" outlineLevel="0" collapsed="false">
      <c r="A13" s="18" t="n">
        <f aca="false">IF($C13="","",COUNTA($C$8:$C13))</f>
        <v>6</v>
      </c>
      <c r="B13" s="31" t="n">
        <v>46221</v>
      </c>
      <c r="C13" s="32" t="s">
        <v>96</v>
      </c>
      <c r="D13" s="33" t="s">
        <v>57</v>
      </c>
      <c r="E13" s="33" t="s">
        <v>97</v>
      </c>
      <c r="F13" s="34" t="n">
        <v>30</v>
      </c>
      <c r="G13" s="35" t="n">
        <f aca="false">IF(OR($B13="",$F13=""),"",$B13+$F13)</f>
        <v>46251</v>
      </c>
      <c r="H13" s="36" t="n">
        <v>4400000</v>
      </c>
      <c r="I13" s="36"/>
      <c r="J13" s="37" t="n">
        <f aca="false">IF($H13="",0,$H13-N($I13))</f>
        <v>4400000</v>
      </c>
      <c r="K13" s="38" t="str">
        <f aca="false">IF($H13="","",IF($J13&lt;0,"Lebih Bayar",IF($J13=0,"Lunas",IF(N($I13)&gt;0,"Bayar Sebagian","Belum Bayar"))))</f>
        <v>Belum Bayar</v>
      </c>
      <c r="L13" s="39" t="n">
        <f aca="true">IF(OR($H13="",$G13=""),0,IF($J13&lt;=0,0,TODAY()-$G13))</f>
        <v>-13</v>
      </c>
      <c r="M13" s="38" t="str">
        <f aca="false">IF($H13="","",IF($J13&lt;0,"Lebih Bayar",IF($J13=0,"Lunas",IF($L13&lt;=0,"Belum Jatuh Tempo",IF($L13&lt;=30,"1-30 hari",IF($L13&lt;=60,"31-60 hari",IF($L13&lt;=90,"61-90 hari","Lebih dari 90 hari")))))))</f>
        <v>Belum Jatuh Tempo</v>
      </c>
      <c r="N13" s="18" t="str">
        <f aca="false">IF($H13="","",IF($L13&lt;=0,"",$L13*1000000+ROW()))</f>
        <v/>
      </c>
    </row>
    <row r="14" customFormat="false" ht="15" hidden="false" customHeight="true" outlineLevel="0" collapsed="false">
      <c r="A14" s="18" t="n">
        <f aca="false">IF($C14="","",COUNTA($C$8:$C14))</f>
        <v>7</v>
      </c>
      <c r="B14" s="31" t="n">
        <v>46228</v>
      </c>
      <c r="C14" s="32" t="s">
        <v>98</v>
      </c>
      <c r="D14" s="33" t="s">
        <v>41</v>
      </c>
      <c r="E14" s="33" t="s">
        <v>99</v>
      </c>
      <c r="F14" s="34" t="n">
        <v>30</v>
      </c>
      <c r="G14" s="35" t="n">
        <f aca="false">IF(OR($B14="",$F14=""),"",$B14+$F14)</f>
        <v>46258</v>
      </c>
      <c r="H14" s="36" t="n">
        <v>3120000</v>
      </c>
      <c r="I14" s="36"/>
      <c r="J14" s="37" t="n">
        <f aca="false">IF($H14="",0,$H14-N($I14))</f>
        <v>3120000</v>
      </c>
      <c r="K14" s="38" t="str">
        <f aca="false">IF($H14="","",IF($J14&lt;0,"Lebih Bayar",IF($J14=0,"Lunas",IF(N($I14)&gt;0,"Bayar Sebagian","Belum Bayar"))))</f>
        <v>Belum Bayar</v>
      </c>
      <c r="L14" s="39" t="n">
        <f aca="true">IF(OR($H14="",$G14=""),0,IF($J14&lt;=0,0,TODAY()-$G14))</f>
        <v>-20</v>
      </c>
      <c r="M14" s="38" t="str">
        <f aca="false">IF($H14="","",IF($J14&lt;0,"Lebih Bayar",IF($J14=0,"Lunas",IF($L14&lt;=0,"Belum Jatuh Tempo",IF($L14&lt;=30,"1-30 hari",IF($L14&lt;=60,"31-60 hari",IF($L14&lt;=90,"61-90 hari","Lebih dari 90 hari")))))))</f>
        <v>Belum Jatuh Tempo</v>
      </c>
      <c r="N14" s="18" t="str">
        <f aca="false">IF($H14="","",IF($L14&lt;=0,"",$L14*1000000+ROW()))</f>
        <v/>
      </c>
    </row>
    <row r="15" customFormat="false" ht="15" hidden="false" customHeight="true" outlineLevel="0" collapsed="false">
      <c r="A15" s="18" t="n">
        <f aca="false">IF($C15="","",COUNTA($C$8:$C15))</f>
        <v>8</v>
      </c>
      <c r="B15" s="31" t="n">
        <v>46232</v>
      </c>
      <c r="C15" s="32" t="s">
        <v>100</v>
      </c>
      <c r="D15" s="33" t="s">
        <v>60</v>
      </c>
      <c r="E15" s="33" t="s">
        <v>101</v>
      </c>
      <c r="F15" s="34" t="n">
        <v>14</v>
      </c>
      <c r="G15" s="35" t="n">
        <f aca="false">IF(OR($B15="",$F15=""),"",$B15+$F15)</f>
        <v>46246</v>
      </c>
      <c r="H15" s="36" t="n">
        <v>2250000</v>
      </c>
      <c r="I15" s="36"/>
      <c r="J15" s="37" t="n">
        <f aca="false">IF($H15="",0,$H15-N($I15))</f>
        <v>2250000</v>
      </c>
      <c r="K15" s="38" t="str">
        <f aca="false">IF($H15="","",IF($J15&lt;0,"Lebih Bayar",IF($J15=0,"Lunas",IF(N($I15)&gt;0,"Bayar Sebagian","Belum Bayar"))))</f>
        <v>Belum Bayar</v>
      </c>
      <c r="L15" s="39" t="n">
        <f aca="true">IF(OR($H15="",$G15=""),0,IF($J15&lt;=0,0,TODAY()-$G15))</f>
        <v>-8</v>
      </c>
      <c r="M15" s="38" t="str">
        <f aca="false">IF($H15="","",IF($J15&lt;0,"Lebih Bayar",IF($J15=0,"Lunas",IF($L15&lt;=0,"Belum Jatuh Tempo",IF($L15&lt;=30,"1-30 hari",IF($L15&lt;=60,"31-60 hari",IF($L15&lt;=90,"61-90 hari","Lebih dari 90 hari")))))))</f>
        <v>Belum Jatuh Tempo</v>
      </c>
      <c r="N15" s="18" t="str">
        <f aca="false">IF($H15="","",IF($L15&lt;=0,"",$L15*1000000+ROW()))</f>
        <v/>
      </c>
    </row>
    <row r="16" customFormat="false" ht="15" hidden="false" customHeight="true" outlineLevel="0" collapsed="false">
      <c r="A16" s="18" t="str">
        <f aca="false">IF($C16="","",COUNTA($C$8:$C16))</f>
        <v/>
      </c>
      <c r="B16" s="40"/>
      <c r="C16" s="41"/>
      <c r="D16" s="19"/>
      <c r="E16" s="19"/>
      <c r="F16" s="42"/>
      <c r="G16" s="35" t="str">
        <f aca="false">IF(OR($B16="",$F16=""),"",$B16+$F16)</f>
        <v/>
      </c>
      <c r="H16" s="43"/>
      <c r="I16" s="43"/>
      <c r="J16" s="37" t="n">
        <f aca="false">IF($H16="",0,$H16-N($I16))</f>
        <v>0</v>
      </c>
      <c r="K16" s="38" t="str">
        <f aca="false">IF($H16="","",IF($J16&lt;0,"Lebih Bayar",IF($J16=0,"Lunas",IF(N($I16)&gt;0,"Bayar Sebagian","Belum Bayar"))))</f>
        <v/>
      </c>
      <c r="L16" s="39" t="n">
        <f aca="true">IF(OR($H16="",$G16=""),0,IF($J16&lt;=0,0,TODAY()-$G16))</f>
        <v>0</v>
      </c>
      <c r="M16" s="38" t="str">
        <f aca="false">IF($H16="","",IF($J16&lt;0,"Lebih Bayar",IF($J16=0,"Lunas",IF($L16&lt;=0,"Belum Jatuh Tempo",IF($L16&lt;=30,"1-30 hari",IF($L16&lt;=60,"31-60 hari",IF($L16&lt;=90,"61-90 hari","Lebih dari 90 hari")))))))</f>
        <v/>
      </c>
      <c r="N16" s="18" t="str">
        <f aca="false">IF($H16="","",IF($L16&lt;=0,"",$L16*1000000+ROW()))</f>
        <v/>
      </c>
    </row>
    <row r="17" customFormat="false" ht="15" hidden="false" customHeight="true" outlineLevel="0" collapsed="false">
      <c r="A17" s="18" t="str">
        <f aca="false">IF($C17="","",COUNTA($C$8:$C17))</f>
        <v/>
      </c>
      <c r="B17" s="44"/>
      <c r="C17" s="45"/>
      <c r="D17" s="46"/>
      <c r="E17" s="46"/>
      <c r="F17" s="47"/>
      <c r="G17" s="35" t="str">
        <f aca="false">IF(OR($B17="",$F17=""),"",$B17+$F17)</f>
        <v/>
      </c>
      <c r="H17" s="48"/>
      <c r="I17" s="48"/>
      <c r="J17" s="37" t="n">
        <f aca="false">IF($H17="",0,$H17-N($I17))</f>
        <v>0</v>
      </c>
      <c r="K17" s="38" t="str">
        <f aca="false">IF($H17="","",IF($J17&lt;0,"Lebih Bayar",IF($J17=0,"Lunas",IF(N($I17)&gt;0,"Bayar Sebagian","Belum Bayar"))))</f>
        <v/>
      </c>
      <c r="L17" s="39" t="n">
        <f aca="true">IF(OR($H17="",$G17=""),0,IF($J17&lt;=0,0,TODAY()-$G17))</f>
        <v>0</v>
      </c>
      <c r="M17" s="38" t="str">
        <f aca="false">IF($H17="","",IF($J17&lt;0,"Lebih Bayar",IF($J17=0,"Lunas",IF($L17&lt;=0,"Belum Jatuh Tempo",IF($L17&lt;=30,"1-30 hari",IF($L17&lt;=60,"31-60 hari",IF($L17&lt;=90,"61-90 hari","Lebih dari 90 hari")))))))</f>
        <v/>
      </c>
      <c r="N17" s="18" t="str">
        <f aca="false">IF($H17="","",IF($L17&lt;=0,"",$L17*1000000+ROW()))</f>
        <v/>
      </c>
    </row>
    <row r="18" customFormat="false" ht="15" hidden="false" customHeight="true" outlineLevel="0" collapsed="false">
      <c r="A18" s="18" t="str">
        <f aca="false">IF($C18="","",COUNTA($C$8:$C18))</f>
        <v/>
      </c>
      <c r="B18" s="40"/>
      <c r="C18" s="41"/>
      <c r="D18" s="19"/>
      <c r="E18" s="19"/>
      <c r="F18" s="42"/>
      <c r="G18" s="35" t="str">
        <f aca="false">IF(OR($B18="",$F18=""),"",$B18+$F18)</f>
        <v/>
      </c>
      <c r="H18" s="43"/>
      <c r="I18" s="43"/>
      <c r="J18" s="37" t="n">
        <f aca="false">IF($H18="",0,$H18-N($I18))</f>
        <v>0</v>
      </c>
      <c r="K18" s="38" t="str">
        <f aca="false">IF($H18="","",IF($J18&lt;0,"Lebih Bayar",IF($J18=0,"Lunas",IF(N($I18)&gt;0,"Bayar Sebagian","Belum Bayar"))))</f>
        <v/>
      </c>
      <c r="L18" s="39" t="n">
        <f aca="true">IF(OR($H18="",$G18=""),0,IF($J18&lt;=0,0,TODAY()-$G18))</f>
        <v>0</v>
      </c>
      <c r="M18" s="38" t="str">
        <f aca="false">IF($H18="","",IF($J18&lt;0,"Lebih Bayar",IF($J18=0,"Lunas",IF($L18&lt;=0,"Belum Jatuh Tempo",IF($L18&lt;=30,"1-30 hari",IF($L18&lt;=60,"31-60 hari",IF($L18&lt;=90,"61-90 hari","Lebih dari 90 hari")))))))</f>
        <v/>
      </c>
      <c r="N18" s="18" t="str">
        <f aca="false">IF($H18="","",IF($L18&lt;=0,"",$L18*1000000+ROW()))</f>
        <v/>
      </c>
    </row>
    <row r="19" customFormat="false" ht="15" hidden="false" customHeight="true" outlineLevel="0" collapsed="false">
      <c r="A19" s="18" t="str">
        <f aca="false">IF($C19="","",COUNTA($C$8:$C19))</f>
        <v/>
      </c>
      <c r="B19" s="44"/>
      <c r="C19" s="45"/>
      <c r="D19" s="46"/>
      <c r="E19" s="46"/>
      <c r="F19" s="47"/>
      <c r="G19" s="35" t="str">
        <f aca="false">IF(OR($B19="",$F19=""),"",$B19+$F19)</f>
        <v/>
      </c>
      <c r="H19" s="48"/>
      <c r="I19" s="48"/>
      <c r="J19" s="37" t="n">
        <f aca="false">IF($H19="",0,$H19-N($I19))</f>
        <v>0</v>
      </c>
      <c r="K19" s="38" t="str">
        <f aca="false">IF($H19="","",IF($J19&lt;0,"Lebih Bayar",IF($J19=0,"Lunas",IF(N($I19)&gt;0,"Bayar Sebagian","Belum Bayar"))))</f>
        <v/>
      </c>
      <c r="L19" s="39" t="n">
        <f aca="true">IF(OR($H19="",$G19=""),0,IF($J19&lt;=0,0,TODAY()-$G19))</f>
        <v>0</v>
      </c>
      <c r="M19" s="38" t="str">
        <f aca="false">IF($H19="","",IF($J19&lt;0,"Lebih Bayar",IF($J19=0,"Lunas",IF($L19&lt;=0,"Belum Jatuh Tempo",IF($L19&lt;=30,"1-30 hari",IF($L19&lt;=60,"31-60 hari",IF($L19&lt;=90,"61-90 hari","Lebih dari 90 hari")))))))</f>
        <v/>
      </c>
      <c r="N19" s="18" t="str">
        <f aca="false">IF($H19="","",IF($L19&lt;=0,"",$L19*1000000+ROW()))</f>
        <v/>
      </c>
    </row>
    <row r="20" customFormat="false" ht="15" hidden="false" customHeight="true" outlineLevel="0" collapsed="false">
      <c r="A20" s="18" t="str">
        <f aca="false">IF($C20="","",COUNTA($C$8:$C20))</f>
        <v/>
      </c>
      <c r="B20" s="40"/>
      <c r="C20" s="41"/>
      <c r="D20" s="19"/>
      <c r="E20" s="19"/>
      <c r="F20" s="42"/>
      <c r="G20" s="35" t="str">
        <f aca="false">IF(OR($B20="",$F20=""),"",$B20+$F20)</f>
        <v/>
      </c>
      <c r="H20" s="43"/>
      <c r="I20" s="43"/>
      <c r="J20" s="37" t="n">
        <f aca="false">IF($H20="",0,$H20-N($I20))</f>
        <v>0</v>
      </c>
      <c r="K20" s="38" t="str">
        <f aca="false">IF($H20="","",IF($J20&lt;0,"Lebih Bayar",IF($J20=0,"Lunas",IF(N($I20)&gt;0,"Bayar Sebagian","Belum Bayar"))))</f>
        <v/>
      </c>
      <c r="L20" s="39" t="n">
        <f aca="true">IF(OR($H20="",$G20=""),0,IF($J20&lt;=0,0,TODAY()-$G20))</f>
        <v>0</v>
      </c>
      <c r="M20" s="38" t="str">
        <f aca="false">IF($H20="","",IF($J20&lt;0,"Lebih Bayar",IF($J20=0,"Lunas",IF($L20&lt;=0,"Belum Jatuh Tempo",IF($L20&lt;=30,"1-30 hari",IF($L20&lt;=60,"31-60 hari",IF($L20&lt;=90,"61-90 hari","Lebih dari 90 hari")))))))</f>
        <v/>
      </c>
      <c r="N20" s="18" t="str">
        <f aca="false">IF($H20="","",IF($L20&lt;=0,"",$L20*1000000+ROW()))</f>
        <v/>
      </c>
    </row>
    <row r="21" customFormat="false" ht="15" hidden="false" customHeight="true" outlineLevel="0" collapsed="false">
      <c r="A21" s="18" t="str">
        <f aca="false">IF($C21="","",COUNTA($C$8:$C21))</f>
        <v/>
      </c>
      <c r="B21" s="44"/>
      <c r="C21" s="45"/>
      <c r="D21" s="46"/>
      <c r="E21" s="46"/>
      <c r="F21" s="47"/>
      <c r="G21" s="35" t="str">
        <f aca="false">IF(OR($B21="",$F21=""),"",$B21+$F21)</f>
        <v/>
      </c>
      <c r="H21" s="48"/>
      <c r="I21" s="48"/>
      <c r="J21" s="37" t="n">
        <f aca="false">IF($H21="",0,$H21-N($I21))</f>
        <v>0</v>
      </c>
      <c r="K21" s="38" t="str">
        <f aca="false">IF($H21="","",IF($J21&lt;0,"Lebih Bayar",IF($J21=0,"Lunas",IF(N($I21)&gt;0,"Bayar Sebagian","Belum Bayar"))))</f>
        <v/>
      </c>
      <c r="L21" s="39" t="n">
        <f aca="true">IF(OR($H21="",$G21=""),0,IF($J21&lt;=0,0,TODAY()-$G21))</f>
        <v>0</v>
      </c>
      <c r="M21" s="38" t="str">
        <f aca="false">IF($H21="","",IF($J21&lt;0,"Lebih Bayar",IF($J21=0,"Lunas",IF($L21&lt;=0,"Belum Jatuh Tempo",IF($L21&lt;=30,"1-30 hari",IF($L21&lt;=60,"31-60 hari",IF($L21&lt;=90,"61-90 hari","Lebih dari 90 hari")))))))</f>
        <v/>
      </c>
      <c r="N21" s="18" t="str">
        <f aca="false">IF($H21="","",IF($L21&lt;=0,"",$L21*1000000+ROW()))</f>
        <v/>
      </c>
    </row>
    <row r="22" customFormat="false" ht="15" hidden="false" customHeight="true" outlineLevel="0" collapsed="false">
      <c r="A22" s="18" t="str">
        <f aca="false">IF($C22="","",COUNTA($C$8:$C22))</f>
        <v/>
      </c>
      <c r="B22" s="40"/>
      <c r="C22" s="41"/>
      <c r="D22" s="19"/>
      <c r="E22" s="19"/>
      <c r="F22" s="42"/>
      <c r="G22" s="35" t="str">
        <f aca="false">IF(OR($B22="",$F22=""),"",$B22+$F22)</f>
        <v/>
      </c>
      <c r="H22" s="43"/>
      <c r="I22" s="43"/>
      <c r="J22" s="37" t="n">
        <f aca="false">IF($H22="",0,$H22-N($I22))</f>
        <v>0</v>
      </c>
      <c r="K22" s="38" t="str">
        <f aca="false">IF($H22="","",IF($J22&lt;0,"Lebih Bayar",IF($J22=0,"Lunas",IF(N($I22)&gt;0,"Bayar Sebagian","Belum Bayar"))))</f>
        <v/>
      </c>
      <c r="L22" s="39" t="n">
        <f aca="true">IF(OR($H22="",$G22=""),0,IF($J22&lt;=0,0,TODAY()-$G22))</f>
        <v>0</v>
      </c>
      <c r="M22" s="38" t="str">
        <f aca="false">IF($H22="","",IF($J22&lt;0,"Lebih Bayar",IF($J22=0,"Lunas",IF($L22&lt;=0,"Belum Jatuh Tempo",IF($L22&lt;=30,"1-30 hari",IF($L22&lt;=60,"31-60 hari",IF($L22&lt;=90,"61-90 hari","Lebih dari 90 hari")))))))</f>
        <v/>
      </c>
      <c r="N22" s="18" t="str">
        <f aca="false">IF($H22="","",IF($L22&lt;=0,"",$L22*1000000+ROW()))</f>
        <v/>
      </c>
    </row>
    <row r="23" customFormat="false" ht="15" hidden="false" customHeight="true" outlineLevel="0" collapsed="false">
      <c r="A23" s="18" t="str">
        <f aca="false">IF($C23="","",COUNTA($C$8:$C23))</f>
        <v/>
      </c>
      <c r="B23" s="44"/>
      <c r="C23" s="45"/>
      <c r="D23" s="46"/>
      <c r="E23" s="46"/>
      <c r="F23" s="47"/>
      <c r="G23" s="35" t="str">
        <f aca="false">IF(OR($B23="",$F23=""),"",$B23+$F23)</f>
        <v/>
      </c>
      <c r="H23" s="48"/>
      <c r="I23" s="48"/>
      <c r="J23" s="37" t="n">
        <f aca="false">IF($H23="",0,$H23-N($I23))</f>
        <v>0</v>
      </c>
      <c r="K23" s="38" t="str">
        <f aca="false">IF($H23="","",IF($J23&lt;0,"Lebih Bayar",IF($J23=0,"Lunas",IF(N($I23)&gt;0,"Bayar Sebagian","Belum Bayar"))))</f>
        <v/>
      </c>
      <c r="L23" s="39" t="n">
        <f aca="true">IF(OR($H23="",$G23=""),0,IF($J23&lt;=0,0,TODAY()-$G23))</f>
        <v>0</v>
      </c>
      <c r="M23" s="38" t="str">
        <f aca="false">IF($H23="","",IF($J23&lt;0,"Lebih Bayar",IF($J23=0,"Lunas",IF($L23&lt;=0,"Belum Jatuh Tempo",IF($L23&lt;=30,"1-30 hari",IF($L23&lt;=60,"31-60 hari",IF($L23&lt;=90,"61-90 hari","Lebih dari 90 hari")))))))</f>
        <v/>
      </c>
      <c r="N23" s="18" t="str">
        <f aca="false">IF($H23="","",IF($L23&lt;=0,"",$L23*1000000+ROW()))</f>
        <v/>
      </c>
    </row>
    <row r="24" customFormat="false" ht="15" hidden="false" customHeight="true" outlineLevel="0" collapsed="false">
      <c r="A24" s="18" t="str">
        <f aca="false">IF($C24="","",COUNTA($C$8:$C24))</f>
        <v/>
      </c>
      <c r="B24" s="40"/>
      <c r="C24" s="41"/>
      <c r="D24" s="19"/>
      <c r="E24" s="19"/>
      <c r="F24" s="42"/>
      <c r="G24" s="35" t="str">
        <f aca="false">IF(OR($B24="",$F24=""),"",$B24+$F24)</f>
        <v/>
      </c>
      <c r="H24" s="43"/>
      <c r="I24" s="43"/>
      <c r="J24" s="37" t="n">
        <f aca="false">IF($H24="",0,$H24-N($I24))</f>
        <v>0</v>
      </c>
      <c r="K24" s="38" t="str">
        <f aca="false">IF($H24="","",IF($J24&lt;0,"Lebih Bayar",IF($J24=0,"Lunas",IF(N($I24)&gt;0,"Bayar Sebagian","Belum Bayar"))))</f>
        <v/>
      </c>
      <c r="L24" s="39" t="n">
        <f aca="true">IF(OR($H24="",$G24=""),0,IF($J24&lt;=0,0,TODAY()-$G24))</f>
        <v>0</v>
      </c>
      <c r="M24" s="38" t="str">
        <f aca="false">IF($H24="","",IF($J24&lt;0,"Lebih Bayar",IF($J24=0,"Lunas",IF($L24&lt;=0,"Belum Jatuh Tempo",IF($L24&lt;=30,"1-30 hari",IF($L24&lt;=60,"31-60 hari",IF($L24&lt;=90,"61-90 hari","Lebih dari 90 hari")))))))</f>
        <v/>
      </c>
      <c r="N24" s="18" t="str">
        <f aca="false">IF($H24="","",IF($L24&lt;=0,"",$L24*1000000+ROW()))</f>
        <v/>
      </c>
    </row>
    <row r="25" customFormat="false" ht="15" hidden="false" customHeight="true" outlineLevel="0" collapsed="false">
      <c r="A25" s="18" t="str">
        <f aca="false">IF($C25="","",COUNTA($C$8:$C25))</f>
        <v/>
      </c>
      <c r="B25" s="44"/>
      <c r="C25" s="45"/>
      <c r="D25" s="46"/>
      <c r="E25" s="46"/>
      <c r="F25" s="47"/>
      <c r="G25" s="35" t="str">
        <f aca="false">IF(OR($B25="",$F25=""),"",$B25+$F25)</f>
        <v/>
      </c>
      <c r="H25" s="48"/>
      <c r="I25" s="48"/>
      <c r="J25" s="37" t="n">
        <f aca="false">IF($H25="",0,$H25-N($I25))</f>
        <v>0</v>
      </c>
      <c r="K25" s="38" t="str">
        <f aca="false">IF($H25="","",IF($J25&lt;0,"Lebih Bayar",IF($J25=0,"Lunas",IF(N($I25)&gt;0,"Bayar Sebagian","Belum Bayar"))))</f>
        <v/>
      </c>
      <c r="L25" s="39" t="n">
        <f aca="true">IF(OR($H25="",$G25=""),0,IF($J25&lt;=0,0,TODAY()-$G25))</f>
        <v>0</v>
      </c>
      <c r="M25" s="38" t="str">
        <f aca="false">IF($H25="","",IF($J25&lt;0,"Lebih Bayar",IF($J25=0,"Lunas",IF($L25&lt;=0,"Belum Jatuh Tempo",IF($L25&lt;=30,"1-30 hari",IF($L25&lt;=60,"31-60 hari",IF($L25&lt;=90,"61-90 hari","Lebih dari 90 hari")))))))</f>
        <v/>
      </c>
      <c r="N25" s="18" t="str">
        <f aca="false">IF($H25="","",IF($L25&lt;=0,"",$L25*1000000+ROW()))</f>
        <v/>
      </c>
    </row>
    <row r="26" customFormat="false" ht="15" hidden="false" customHeight="true" outlineLevel="0" collapsed="false">
      <c r="A26" s="18" t="str">
        <f aca="false">IF($C26="","",COUNTA($C$8:$C26))</f>
        <v/>
      </c>
      <c r="B26" s="40"/>
      <c r="C26" s="41"/>
      <c r="D26" s="19"/>
      <c r="E26" s="19"/>
      <c r="F26" s="42"/>
      <c r="G26" s="35" t="str">
        <f aca="false">IF(OR($B26="",$F26=""),"",$B26+$F26)</f>
        <v/>
      </c>
      <c r="H26" s="43"/>
      <c r="I26" s="43"/>
      <c r="J26" s="37" t="n">
        <f aca="false">IF($H26="",0,$H26-N($I26))</f>
        <v>0</v>
      </c>
      <c r="K26" s="38" t="str">
        <f aca="false">IF($H26="","",IF($J26&lt;0,"Lebih Bayar",IF($J26=0,"Lunas",IF(N($I26)&gt;0,"Bayar Sebagian","Belum Bayar"))))</f>
        <v/>
      </c>
      <c r="L26" s="39" t="n">
        <f aca="true">IF(OR($H26="",$G26=""),0,IF($J26&lt;=0,0,TODAY()-$G26))</f>
        <v>0</v>
      </c>
      <c r="M26" s="38" t="str">
        <f aca="false">IF($H26="","",IF($J26&lt;0,"Lebih Bayar",IF($J26=0,"Lunas",IF($L26&lt;=0,"Belum Jatuh Tempo",IF($L26&lt;=30,"1-30 hari",IF($L26&lt;=60,"31-60 hari",IF($L26&lt;=90,"61-90 hari","Lebih dari 90 hari")))))))</f>
        <v/>
      </c>
      <c r="N26" s="18" t="str">
        <f aca="false">IF($H26="","",IF($L26&lt;=0,"",$L26*1000000+ROW()))</f>
        <v/>
      </c>
    </row>
    <row r="27" customFormat="false" ht="15" hidden="false" customHeight="true" outlineLevel="0" collapsed="false">
      <c r="A27" s="18" t="str">
        <f aca="false">IF($C27="","",COUNTA($C$8:$C27))</f>
        <v/>
      </c>
      <c r="B27" s="44"/>
      <c r="C27" s="45"/>
      <c r="D27" s="46"/>
      <c r="E27" s="46"/>
      <c r="F27" s="47"/>
      <c r="G27" s="35" t="str">
        <f aca="false">IF(OR($B27="",$F27=""),"",$B27+$F27)</f>
        <v/>
      </c>
      <c r="H27" s="48"/>
      <c r="I27" s="48"/>
      <c r="J27" s="37" t="n">
        <f aca="false">IF($H27="",0,$H27-N($I27))</f>
        <v>0</v>
      </c>
      <c r="K27" s="38" t="str">
        <f aca="false">IF($H27="","",IF($J27&lt;0,"Lebih Bayar",IF($J27=0,"Lunas",IF(N($I27)&gt;0,"Bayar Sebagian","Belum Bayar"))))</f>
        <v/>
      </c>
      <c r="L27" s="39" t="n">
        <f aca="true">IF(OR($H27="",$G27=""),0,IF($J27&lt;=0,0,TODAY()-$G27))</f>
        <v>0</v>
      </c>
      <c r="M27" s="38" t="str">
        <f aca="false">IF($H27="","",IF($J27&lt;0,"Lebih Bayar",IF($J27=0,"Lunas",IF($L27&lt;=0,"Belum Jatuh Tempo",IF($L27&lt;=30,"1-30 hari",IF($L27&lt;=60,"31-60 hari",IF($L27&lt;=90,"61-90 hari","Lebih dari 90 hari")))))))</f>
        <v/>
      </c>
      <c r="N27" s="18" t="str">
        <f aca="false">IF($H27="","",IF($L27&lt;=0,"",$L27*1000000+ROW()))</f>
        <v/>
      </c>
    </row>
    <row r="28" customFormat="false" ht="15" hidden="false" customHeight="true" outlineLevel="0" collapsed="false">
      <c r="A28" s="18" t="str">
        <f aca="false">IF($C28="","",COUNTA($C$8:$C28))</f>
        <v/>
      </c>
      <c r="B28" s="40"/>
      <c r="C28" s="41"/>
      <c r="D28" s="19"/>
      <c r="E28" s="19"/>
      <c r="F28" s="42"/>
      <c r="G28" s="35" t="str">
        <f aca="false">IF(OR($B28="",$F28=""),"",$B28+$F28)</f>
        <v/>
      </c>
      <c r="H28" s="43"/>
      <c r="I28" s="43"/>
      <c r="J28" s="37" t="n">
        <f aca="false">IF($H28="",0,$H28-N($I28))</f>
        <v>0</v>
      </c>
      <c r="K28" s="38" t="str">
        <f aca="false">IF($H28="","",IF($J28&lt;0,"Lebih Bayar",IF($J28=0,"Lunas",IF(N($I28)&gt;0,"Bayar Sebagian","Belum Bayar"))))</f>
        <v/>
      </c>
      <c r="L28" s="39" t="n">
        <f aca="true">IF(OR($H28="",$G28=""),0,IF($J28&lt;=0,0,TODAY()-$G28))</f>
        <v>0</v>
      </c>
      <c r="M28" s="38" t="str">
        <f aca="false">IF($H28="","",IF($J28&lt;0,"Lebih Bayar",IF($J28=0,"Lunas",IF($L28&lt;=0,"Belum Jatuh Tempo",IF($L28&lt;=30,"1-30 hari",IF($L28&lt;=60,"31-60 hari",IF($L28&lt;=90,"61-90 hari","Lebih dari 90 hari")))))))</f>
        <v/>
      </c>
      <c r="N28" s="18" t="str">
        <f aca="false">IF($H28="","",IF($L28&lt;=0,"",$L28*1000000+ROW()))</f>
        <v/>
      </c>
    </row>
    <row r="29" customFormat="false" ht="15" hidden="false" customHeight="true" outlineLevel="0" collapsed="false">
      <c r="A29" s="18" t="str">
        <f aca="false">IF($C29="","",COUNTA($C$8:$C29))</f>
        <v/>
      </c>
      <c r="B29" s="44"/>
      <c r="C29" s="45"/>
      <c r="D29" s="46"/>
      <c r="E29" s="46"/>
      <c r="F29" s="47"/>
      <c r="G29" s="35" t="str">
        <f aca="false">IF(OR($B29="",$F29=""),"",$B29+$F29)</f>
        <v/>
      </c>
      <c r="H29" s="48"/>
      <c r="I29" s="48"/>
      <c r="J29" s="37" t="n">
        <f aca="false">IF($H29="",0,$H29-N($I29))</f>
        <v>0</v>
      </c>
      <c r="K29" s="38" t="str">
        <f aca="false">IF($H29="","",IF($J29&lt;0,"Lebih Bayar",IF($J29=0,"Lunas",IF(N($I29)&gt;0,"Bayar Sebagian","Belum Bayar"))))</f>
        <v/>
      </c>
      <c r="L29" s="39" t="n">
        <f aca="true">IF(OR($H29="",$G29=""),0,IF($J29&lt;=0,0,TODAY()-$G29))</f>
        <v>0</v>
      </c>
      <c r="M29" s="38" t="str">
        <f aca="false">IF($H29="","",IF($J29&lt;0,"Lebih Bayar",IF($J29=0,"Lunas",IF($L29&lt;=0,"Belum Jatuh Tempo",IF($L29&lt;=30,"1-30 hari",IF($L29&lt;=60,"31-60 hari",IF($L29&lt;=90,"61-90 hari","Lebih dari 90 hari")))))))</f>
        <v/>
      </c>
      <c r="N29" s="18" t="str">
        <f aca="false">IF($H29="","",IF($L29&lt;=0,"",$L29*1000000+ROW()))</f>
        <v/>
      </c>
    </row>
    <row r="30" customFormat="false" ht="15" hidden="false" customHeight="true" outlineLevel="0" collapsed="false">
      <c r="A30" s="18" t="str">
        <f aca="false">IF($C30="","",COUNTA($C$8:$C30))</f>
        <v/>
      </c>
      <c r="B30" s="40"/>
      <c r="C30" s="41"/>
      <c r="D30" s="19"/>
      <c r="E30" s="19"/>
      <c r="F30" s="42"/>
      <c r="G30" s="35" t="str">
        <f aca="false">IF(OR($B30="",$F30=""),"",$B30+$F30)</f>
        <v/>
      </c>
      <c r="H30" s="43"/>
      <c r="I30" s="43"/>
      <c r="J30" s="37" t="n">
        <f aca="false">IF($H30="",0,$H30-N($I30))</f>
        <v>0</v>
      </c>
      <c r="K30" s="38" t="str">
        <f aca="false">IF($H30="","",IF($J30&lt;0,"Lebih Bayar",IF($J30=0,"Lunas",IF(N($I30)&gt;0,"Bayar Sebagian","Belum Bayar"))))</f>
        <v/>
      </c>
      <c r="L30" s="39" t="n">
        <f aca="true">IF(OR($H30="",$G30=""),0,IF($J30&lt;=0,0,TODAY()-$G30))</f>
        <v>0</v>
      </c>
      <c r="M30" s="38" t="str">
        <f aca="false">IF($H30="","",IF($J30&lt;0,"Lebih Bayar",IF($J30=0,"Lunas",IF($L30&lt;=0,"Belum Jatuh Tempo",IF($L30&lt;=30,"1-30 hari",IF($L30&lt;=60,"31-60 hari",IF($L30&lt;=90,"61-90 hari","Lebih dari 90 hari")))))))</f>
        <v/>
      </c>
      <c r="N30" s="18" t="str">
        <f aca="false">IF($H30="","",IF($L30&lt;=0,"",$L30*1000000+ROW()))</f>
        <v/>
      </c>
    </row>
    <row r="31" customFormat="false" ht="15" hidden="false" customHeight="true" outlineLevel="0" collapsed="false">
      <c r="A31" s="18" t="str">
        <f aca="false">IF($C31="","",COUNTA($C$8:$C31))</f>
        <v/>
      </c>
      <c r="B31" s="44"/>
      <c r="C31" s="45"/>
      <c r="D31" s="46"/>
      <c r="E31" s="46"/>
      <c r="F31" s="47"/>
      <c r="G31" s="35" t="str">
        <f aca="false">IF(OR($B31="",$F31=""),"",$B31+$F31)</f>
        <v/>
      </c>
      <c r="H31" s="48"/>
      <c r="I31" s="48"/>
      <c r="J31" s="37" t="n">
        <f aca="false">IF($H31="",0,$H31-N($I31))</f>
        <v>0</v>
      </c>
      <c r="K31" s="38" t="str">
        <f aca="false">IF($H31="","",IF($J31&lt;0,"Lebih Bayar",IF($J31=0,"Lunas",IF(N($I31)&gt;0,"Bayar Sebagian","Belum Bayar"))))</f>
        <v/>
      </c>
      <c r="L31" s="39" t="n">
        <f aca="true">IF(OR($H31="",$G31=""),0,IF($J31&lt;=0,0,TODAY()-$G31))</f>
        <v>0</v>
      </c>
      <c r="M31" s="38" t="str">
        <f aca="false">IF($H31="","",IF($J31&lt;0,"Lebih Bayar",IF($J31=0,"Lunas",IF($L31&lt;=0,"Belum Jatuh Tempo",IF($L31&lt;=30,"1-30 hari",IF($L31&lt;=60,"31-60 hari",IF($L31&lt;=90,"61-90 hari","Lebih dari 90 hari")))))))</f>
        <v/>
      </c>
      <c r="N31" s="18" t="str">
        <f aca="false">IF($H31="","",IF($L31&lt;=0,"",$L31*1000000+ROW()))</f>
        <v/>
      </c>
    </row>
    <row r="32" customFormat="false" ht="15" hidden="false" customHeight="true" outlineLevel="0" collapsed="false">
      <c r="A32" s="18" t="str">
        <f aca="false">IF($C32="","",COUNTA($C$8:$C32))</f>
        <v/>
      </c>
      <c r="B32" s="40"/>
      <c r="C32" s="41"/>
      <c r="D32" s="19"/>
      <c r="E32" s="19"/>
      <c r="F32" s="42"/>
      <c r="G32" s="35" t="str">
        <f aca="false">IF(OR($B32="",$F32=""),"",$B32+$F32)</f>
        <v/>
      </c>
      <c r="H32" s="43"/>
      <c r="I32" s="43"/>
      <c r="J32" s="37" t="n">
        <f aca="false">IF($H32="",0,$H32-N($I32))</f>
        <v>0</v>
      </c>
      <c r="K32" s="38" t="str">
        <f aca="false">IF($H32="","",IF($J32&lt;0,"Lebih Bayar",IF($J32=0,"Lunas",IF(N($I32)&gt;0,"Bayar Sebagian","Belum Bayar"))))</f>
        <v/>
      </c>
      <c r="L32" s="39" t="n">
        <f aca="true">IF(OR($H32="",$G32=""),0,IF($J32&lt;=0,0,TODAY()-$G32))</f>
        <v>0</v>
      </c>
      <c r="M32" s="38" t="str">
        <f aca="false">IF($H32="","",IF($J32&lt;0,"Lebih Bayar",IF($J32=0,"Lunas",IF($L32&lt;=0,"Belum Jatuh Tempo",IF($L32&lt;=30,"1-30 hari",IF($L32&lt;=60,"31-60 hari",IF($L32&lt;=90,"61-90 hari","Lebih dari 90 hari")))))))</f>
        <v/>
      </c>
      <c r="N32" s="18" t="str">
        <f aca="false">IF($H32="","",IF($L32&lt;=0,"",$L32*1000000+ROW()))</f>
        <v/>
      </c>
    </row>
    <row r="33" customFormat="false" ht="15" hidden="false" customHeight="true" outlineLevel="0" collapsed="false">
      <c r="A33" s="18" t="str">
        <f aca="false">IF($C33="","",COUNTA($C$8:$C33))</f>
        <v/>
      </c>
      <c r="B33" s="44"/>
      <c r="C33" s="45"/>
      <c r="D33" s="46"/>
      <c r="E33" s="46"/>
      <c r="F33" s="47"/>
      <c r="G33" s="35" t="str">
        <f aca="false">IF(OR($B33="",$F33=""),"",$B33+$F33)</f>
        <v/>
      </c>
      <c r="H33" s="48"/>
      <c r="I33" s="48"/>
      <c r="J33" s="37" t="n">
        <f aca="false">IF($H33="",0,$H33-N($I33))</f>
        <v>0</v>
      </c>
      <c r="K33" s="38" t="str">
        <f aca="false">IF($H33="","",IF($J33&lt;0,"Lebih Bayar",IF($J33=0,"Lunas",IF(N($I33)&gt;0,"Bayar Sebagian","Belum Bayar"))))</f>
        <v/>
      </c>
      <c r="L33" s="39" t="n">
        <f aca="true">IF(OR($H33="",$G33=""),0,IF($J33&lt;=0,0,TODAY()-$G33))</f>
        <v>0</v>
      </c>
      <c r="M33" s="38" t="str">
        <f aca="false">IF($H33="","",IF($J33&lt;0,"Lebih Bayar",IF($J33=0,"Lunas",IF($L33&lt;=0,"Belum Jatuh Tempo",IF($L33&lt;=30,"1-30 hari",IF($L33&lt;=60,"31-60 hari",IF($L33&lt;=90,"61-90 hari","Lebih dari 90 hari")))))))</f>
        <v/>
      </c>
      <c r="N33" s="18" t="str">
        <f aca="false">IF($H33="","",IF($L33&lt;=0,"",$L33*1000000+ROW()))</f>
        <v/>
      </c>
    </row>
    <row r="34" customFormat="false" ht="15" hidden="false" customHeight="true" outlineLevel="0" collapsed="false">
      <c r="A34" s="18" t="str">
        <f aca="false">IF($C34="","",COUNTA($C$8:$C34))</f>
        <v/>
      </c>
      <c r="B34" s="40"/>
      <c r="C34" s="41"/>
      <c r="D34" s="19"/>
      <c r="E34" s="19"/>
      <c r="F34" s="42"/>
      <c r="G34" s="35" t="str">
        <f aca="false">IF(OR($B34="",$F34=""),"",$B34+$F34)</f>
        <v/>
      </c>
      <c r="H34" s="43"/>
      <c r="I34" s="43"/>
      <c r="J34" s="37" t="n">
        <f aca="false">IF($H34="",0,$H34-N($I34))</f>
        <v>0</v>
      </c>
      <c r="K34" s="38" t="str">
        <f aca="false">IF($H34="","",IF($J34&lt;0,"Lebih Bayar",IF($J34=0,"Lunas",IF(N($I34)&gt;0,"Bayar Sebagian","Belum Bayar"))))</f>
        <v/>
      </c>
      <c r="L34" s="39" t="n">
        <f aca="true">IF(OR($H34="",$G34=""),0,IF($J34&lt;=0,0,TODAY()-$G34))</f>
        <v>0</v>
      </c>
      <c r="M34" s="38" t="str">
        <f aca="false">IF($H34="","",IF($J34&lt;0,"Lebih Bayar",IF($J34=0,"Lunas",IF($L34&lt;=0,"Belum Jatuh Tempo",IF($L34&lt;=30,"1-30 hari",IF($L34&lt;=60,"31-60 hari",IF($L34&lt;=90,"61-90 hari","Lebih dari 90 hari")))))))</f>
        <v/>
      </c>
      <c r="N34" s="18" t="str">
        <f aca="false">IF($H34="","",IF($L34&lt;=0,"",$L34*1000000+ROW()))</f>
        <v/>
      </c>
    </row>
    <row r="35" customFormat="false" ht="15" hidden="false" customHeight="true" outlineLevel="0" collapsed="false">
      <c r="A35" s="18" t="str">
        <f aca="false">IF($C35="","",COUNTA($C$8:$C35))</f>
        <v/>
      </c>
      <c r="B35" s="44"/>
      <c r="C35" s="45"/>
      <c r="D35" s="46"/>
      <c r="E35" s="46"/>
      <c r="F35" s="47"/>
      <c r="G35" s="35" t="str">
        <f aca="false">IF(OR($B35="",$F35=""),"",$B35+$F35)</f>
        <v/>
      </c>
      <c r="H35" s="48"/>
      <c r="I35" s="48"/>
      <c r="J35" s="37" t="n">
        <f aca="false">IF($H35="",0,$H35-N($I35))</f>
        <v>0</v>
      </c>
      <c r="K35" s="38" t="str">
        <f aca="false">IF($H35="","",IF($J35&lt;0,"Lebih Bayar",IF($J35=0,"Lunas",IF(N($I35)&gt;0,"Bayar Sebagian","Belum Bayar"))))</f>
        <v/>
      </c>
      <c r="L35" s="39" t="n">
        <f aca="true">IF(OR($H35="",$G35=""),0,IF($J35&lt;=0,0,TODAY()-$G35))</f>
        <v>0</v>
      </c>
      <c r="M35" s="38" t="str">
        <f aca="false">IF($H35="","",IF($J35&lt;0,"Lebih Bayar",IF($J35=0,"Lunas",IF($L35&lt;=0,"Belum Jatuh Tempo",IF($L35&lt;=30,"1-30 hari",IF($L35&lt;=60,"31-60 hari",IF($L35&lt;=90,"61-90 hari","Lebih dari 90 hari")))))))</f>
        <v/>
      </c>
      <c r="N35" s="18" t="str">
        <f aca="false">IF($H35="","",IF($L35&lt;=0,"",$L35*1000000+ROW()))</f>
        <v/>
      </c>
    </row>
    <row r="36" customFormat="false" ht="15" hidden="false" customHeight="true" outlineLevel="0" collapsed="false">
      <c r="A36" s="18" t="str">
        <f aca="false">IF($C36="","",COUNTA($C$8:$C36))</f>
        <v/>
      </c>
      <c r="B36" s="40"/>
      <c r="C36" s="41"/>
      <c r="D36" s="19"/>
      <c r="E36" s="19"/>
      <c r="F36" s="42"/>
      <c r="G36" s="35" t="str">
        <f aca="false">IF(OR($B36="",$F36=""),"",$B36+$F36)</f>
        <v/>
      </c>
      <c r="H36" s="43"/>
      <c r="I36" s="43"/>
      <c r="J36" s="37" t="n">
        <f aca="false">IF($H36="",0,$H36-N($I36))</f>
        <v>0</v>
      </c>
      <c r="K36" s="38" t="str">
        <f aca="false">IF($H36="","",IF($J36&lt;0,"Lebih Bayar",IF($J36=0,"Lunas",IF(N($I36)&gt;0,"Bayar Sebagian","Belum Bayar"))))</f>
        <v/>
      </c>
      <c r="L36" s="39" t="n">
        <f aca="true">IF(OR($H36="",$G36=""),0,IF($J36&lt;=0,0,TODAY()-$G36))</f>
        <v>0</v>
      </c>
      <c r="M36" s="38" t="str">
        <f aca="false">IF($H36="","",IF($J36&lt;0,"Lebih Bayar",IF($J36=0,"Lunas",IF($L36&lt;=0,"Belum Jatuh Tempo",IF($L36&lt;=30,"1-30 hari",IF($L36&lt;=60,"31-60 hari",IF($L36&lt;=90,"61-90 hari","Lebih dari 90 hari")))))))</f>
        <v/>
      </c>
      <c r="N36" s="18" t="str">
        <f aca="false">IF($H36="","",IF($L36&lt;=0,"",$L36*1000000+ROW()))</f>
        <v/>
      </c>
    </row>
    <row r="37" customFormat="false" ht="15" hidden="false" customHeight="true" outlineLevel="0" collapsed="false">
      <c r="A37" s="18" t="str">
        <f aca="false">IF($C37="","",COUNTA($C$8:$C37))</f>
        <v/>
      </c>
      <c r="B37" s="44"/>
      <c r="C37" s="45"/>
      <c r="D37" s="46"/>
      <c r="E37" s="46"/>
      <c r="F37" s="47"/>
      <c r="G37" s="35" t="str">
        <f aca="false">IF(OR($B37="",$F37=""),"",$B37+$F37)</f>
        <v/>
      </c>
      <c r="H37" s="48"/>
      <c r="I37" s="48"/>
      <c r="J37" s="37" t="n">
        <f aca="false">IF($H37="",0,$H37-N($I37))</f>
        <v>0</v>
      </c>
      <c r="K37" s="38" t="str">
        <f aca="false">IF($H37="","",IF($J37&lt;0,"Lebih Bayar",IF($J37=0,"Lunas",IF(N($I37)&gt;0,"Bayar Sebagian","Belum Bayar"))))</f>
        <v/>
      </c>
      <c r="L37" s="39" t="n">
        <f aca="true">IF(OR($H37="",$G37=""),0,IF($J37&lt;=0,0,TODAY()-$G37))</f>
        <v>0</v>
      </c>
      <c r="M37" s="38" t="str">
        <f aca="false">IF($H37="","",IF($J37&lt;0,"Lebih Bayar",IF($J37=0,"Lunas",IF($L37&lt;=0,"Belum Jatuh Tempo",IF($L37&lt;=30,"1-30 hari",IF($L37&lt;=60,"31-60 hari",IF($L37&lt;=90,"61-90 hari","Lebih dari 90 hari")))))))</f>
        <v/>
      </c>
      <c r="N37" s="18" t="str">
        <f aca="false">IF($H37="","",IF($L37&lt;=0,"",$L37*1000000+ROW()))</f>
        <v/>
      </c>
    </row>
    <row r="38" customFormat="false" ht="15" hidden="false" customHeight="true" outlineLevel="0" collapsed="false">
      <c r="A38" s="18" t="str">
        <f aca="false">IF($C38="","",COUNTA($C$8:$C38))</f>
        <v/>
      </c>
      <c r="B38" s="40"/>
      <c r="C38" s="41"/>
      <c r="D38" s="19"/>
      <c r="E38" s="19"/>
      <c r="F38" s="42"/>
      <c r="G38" s="35" t="str">
        <f aca="false">IF(OR($B38="",$F38=""),"",$B38+$F38)</f>
        <v/>
      </c>
      <c r="H38" s="43"/>
      <c r="I38" s="43"/>
      <c r="J38" s="37" t="n">
        <f aca="false">IF($H38="",0,$H38-N($I38))</f>
        <v>0</v>
      </c>
      <c r="K38" s="38" t="str">
        <f aca="false">IF($H38="","",IF($J38&lt;0,"Lebih Bayar",IF($J38=0,"Lunas",IF(N($I38)&gt;0,"Bayar Sebagian","Belum Bayar"))))</f>
        <v/>
      </c>
      <c r="L38" s="39" t="n">
        <f aca="true">IF(OR($H38="",$G38=""),0,IF($J38&lt;=0,0,TODAY()-$G38))</f>
        <v>0</v>
      </c>
      <c r="M38" s="38" t="str">
        <f aca="false">IF($H38="","",IF($J38&lt;0,"Lebih Bayar",IF($J38=0,"Lunas",IF($L38&lt;=0,"Belum Jatuh Tempo",IF($L38&lt;=30,"1-30 hari",IF($L38&lt;=60,"31-60 hari",IF($L38&lt;=90,"61-90 hari","Lebih dari 90 hari")))))))</f>
        <v/>
      </c>
      <c r="N38" s="18" t="str">
        <f aca="false">IF($H38="","",IF($L38&lt;=0,"",$L38*1000000+ROW()))</f>
        <v/>
      </c>
    </row>
    <row r="39" customFormat="false" ht="15" hidden="false" customHeight="true" outlineLevel="0" collapsed="false">
      <c r="A39" s="18" t="str">
        <f aca="false">IF($C39="","",COUNTA($C$8:$C39))</f>
        <v/>
      </c>
      <c r="B39" s="44"/>
      <c r="C39" s="45"/>
      <c r="D39" s="46"/>
      <c r="E39" s="46"/>
      <c r="F39" s="47"/>
      <c r="G39" s="35" t="str">
        <f aca="false">IF(OR($B39="",$F39=""),"",$B39+$F39)</f>
        <v/>
      </c>
      <c r="H39" s="48"/>
      <c r="I39" s="48"/>
      <c r="J39" s="37" t="n">
        <f aca="false">IF($H39="",0,$H39-N($I39))</f>
        <v>0</v>
      </c>
      <c r="K39" s="38" t="str">
        <f aca="false">IF($H39="","",IF($J39&lt;0,"Lebih Bayar",IF($J39=0,"Lunas",IF(N($I39)&gt;0,"Bayar Sebagian","Belum Bayar"))))</f>
        <v/>
      </c>
      <c r="L39" s="39" t="n">
        <f aca="true">IF(OR($H39="",$G39=""),0,IF($J39&lt;=0,0,TODAY()-$G39))</f>
        <v>0</v>
      </c>
      <c r="M39" s="38" t="str">
        <f aca="false">IF($H39="","",IF($J39&lt;0,"Lebih Bayar",IF($J39=0,"Lunas",IF($L39&lt;=0,"Belum Jatuh Tempo",IF($L39&lt;=30,"1-30 hari",IF($L39&lt;=60,"31-60 hari",IF($L39&lt;=90,"61-90 hari","Lebih dari 90 hari")))))))</f>
        <v/>
      </c>
      <c r="N39" s="18" t="str">
        <f aca="false">IF($H39="","",IF($L39&lt;=0,"",$L39*1000000+ROW()))</f>
        <v/>
      </c>
    </row>
    <row r="40" customFormat="false" ht="15" hidden="false" customHeight="true" outlineLevel="0" collapsed="false">
      <c r="A40" s="18" t="str">
        <f aca="false">IF($C40="","",COUNTA($C$8:$C40))</f>
        <v/>
      </c>
      <c r="B40" s="40"/>
      <c r="C40" s="41"/>
      <c r="D40" s="19"/>
      <c r="E40" s="19"/>
      <c r="F40" s="42"/>
      <c r="G40" s="35" t="str">
        <f aca="false">IF(OR($B40="",$F40=""),"",$B40+$F40)</f>
        <v/>
      </c>
      <c r="H40" s="43"/>
      <c r="I40" s="43"/>
      <c r="J40" s="37" t="n">
        <f aca="false">IF($H40="",0,$H40-N($I40))</f>
        <v>0</v>
      </c>
      <c r="K40" s="38" t="str">
        <f aca="false">IF($H40="","",IF($J40&lt;0,"Lebih Bayar",IF($J40=0,"Lunas",IF(N($I40)&gt;0,"Bayar Sebagian","Belum Bayar"))))</f>
        <v/>
      </c>
      <c r="L40" s="39" t="n">
        <f aca="true">IF(OR($H40="",$G40=""),0,IF($J40&lt;=0,0,TODAY()-$G40))</f>
        <v>0</v>
      </c>
      <c r="M40" s="38" t="str">
        <f aca="false">IF($H40="","",IF($J40&lt;0,"Lebih Bayar",IF($J40=0,"Lunas",IF($L40&lt;=0,"Belum Jatuh Tempo",IF($L40&lt;=30,"1-30 hari",IF($L40&lt;=60,"31-60 hari",IF($L40&lt;=90,"61-90 hari","Lebih dari 90 hari")))))))</f>
        <v/>
      </c>
      <c r="N40" s="18" t="str">
        <f aca="false">IF($H40="","",IF($L40&lt;=0,"",$L40*1000000+ROW()))</f>
        <v/>
      </c>
    </row>
    <row r="41" customFormat="false" ht="15" hidden="false" customHeight="true" outlineLevel="0" collapsed="false">
      <c r="A41" s="18" t="str">
        <f aca="false">IF($C41="","",COUNTA($C$8:$C41))</f>
        <v/>
      </c>
      <c r="B41" s="44"/>
      <c r="C41" s="45"/>
      <c r="D41" s="46"/>
      <c r="E41" s="46"/>
      <c r="F41" s="47"/>
      <c r="G41" s="35" t="str">
        <f aca="false">IF(OR($B41="",$F41=""),"",$B41+$F41)</f>
        <v/>
      </c>
      <c r="H41" s="48"/>
      <c r="I41" s="48"/>
      <c r="J41" s="37" t="n">
        <f aca="false">IF($H41="",0,$H41-N($I41))</f>
        <v>0</v>
      </c>
      <c r="K41" s="38" t="str">
        <f aca="false">IF($H41="","",IF($J41&lt;0,"Lebih Bayar",IF($J41=0,"Lunas",IF(N($I41)&gt;0,"Bayar Sebagian","Belum Bayar"))))</f>
        <v/>
      </c>
      <c r="L41" s="39" t="n">
        <f aca="true">IF(OR($H41="",$G41=""),0,IF($J41&lt;=0,0,TODAY()-$G41))</f>
        <v>0</v>
      </c>
      <c r="M41" s="38" t="str">
        <f aca="false">IF($H41="","",IF($J41&lt;0,"Lebih Bayar",IF($J41=0,"Lunas",IF($L41&lt;=0,"Belum Jatuh Tempo",IF($L41&lt;=30,"1-30 hari",IF($L41&lt;=60,"31-60 hari",IF($L41&lt;=90,"61-90 hari","Lebih dari 90 hari")))))))</f>
        <v/>
      </c>
      <c r="N41" s="18" t="str">
        <f aca="false">IF($H41="","",IF($L41&lt;=0,"",$L41*1000000+ROW()))</f>
        <v/>
      </c>
    </row>
    <row r="42" customFormat="false" ht="15" hidden="false" customHeight="true" outlineLevel="0" collapsed="false">
      <c r="A42" s="18" t="str">
        <f aca="false">IF($C42="","",COUNTA($C$8:$C42))</f>
        <v/>
      </c>
      <c r="B42" s="40"/>
      <c r="C42" s="41"/>
      <c r="D42" s="19"/>
      <c r="E42" s="19"/>
      <c r="F42" s="42"/>
      <c r="G42" s="35" t="str">
        <f aca="false">IF(OR($B42="",$F42=""),"",$B42+$F42)</f>
        <v/>
      </c>
      <c r="H42" s="43"/>
      <c r="I42" s="43"/>
      <c r="J42" s="37" t="n">
        <f aca="false">IF($H42="",0,$H42-N($I42))</f>
        <v>0</v>
      </c>
      <c r="K42" s="38" t="str">
        <f aca="false">IF($H42="","",IF($J42&lt;0,"Lebih Bayar",IF($J42=0,"Lunas",IF(N($I42)&gt;0,"Bayar Sebagian","Belum Bayar"))))</f>
        <v/>
      </c>
      <c r="L42" s="39" t="n">
        <f aca="true">IF(OR($H42="",$G42=""),0,IF($J42&lt;=0,0,TODAY()-$G42))</f>
        <v>0</v>
      </c>
      <c r="M42" s="38" t="str">
        <f aca="false">IF($H42="","",IF($J42&lt;0,"Lebih Bayar",IF($J42=0,"Lunas",IF($L42&lt;=0,"Belum Jatuh Tempo",IF($L42&lt;=30,"1-30 hari",IF($L42&lt;=60,"31-60 hari",IF($L42&lt;=90,"61-90 hari","Lebih dari 90 hari")))))))</f>
        <v/>
      </c>
      <c r="N42" s="18" t="str">
        <f aca="false">IF($H42="","",IF($L42&lt;=0,"",$L42*1000000+ROW()))</f>
        <v/>
      </c>
    </row>
    <row r="43" customFormat="false" ht="15" hidden="false" customHeight="true" outlineLevel="0" collapsed="false">
      <c r="A43" s="18" t="str">
        <f aca="false">IF($C43="","",COUNTA($C$8:$C43))</f>
        <v/>
      </c>
      <c r="B43" s="44"/>
      <c r="C43" s="45"/>
      <c r="D43" s="46"/>
      <c r="E43" s="46"/>
      <c r="F43" s="47"/>
      <c r="G43" s="35" t="str">
        <f aca="false">IF(OR($B43="",$F43=""),"",$B43+$F43)</f>
        <v/>
      </c>
      <c r="H43" s="48"/>
      <c r="I43" s="48"/>
      <c r="J43" s="37" t="n">
        <f aca="false">IF($H43="",0,$H43-N($I43))</f>
        <v>0</v>
      </c>
      <c r="K43" s="38" t="str">
        <f aca="false">IF($H43="","",IF($J43&lt;0,"Lebih Bayar",IF($J43=0,"Lunas",IF(N($I43)&gt;0,"Bayar Sebagian","Belum Bayar"))))</f>
        <v/>
      </c>
      <c r="L43" s="39" t="n">
        <f aca="true">IF(OR($H43="",$G43=""),0,IF($J43&lt;=0,0,TODAY()-$G43))</f>
        <v>0</v>
      </c>
      <c r="M43" s="38" t="str">
        <f aca="false">IF($H43="","",IF($J43&lt;0,"Lebih Bayar",IF($J43=0,"Lunas",IF($L43&lt;=0,"Belum Jatuh Tempo",IF($L43&lt;=30,"1-30 hari",IF($L43&lt;=60,"31-60 hari",IF($L43&lt;=90,"61-90 hari","Lebih dari 90 hari")))))))</f>
        <v/>
      </c>
      <c r="N43" s="18" t="str">
        <f aca="false">IF($H43="","",IF($L43&lt;=0,"",$L43*1000000+ROW()))</f>
        <v/>
      </c>
    </row>
    <row r="44" customFormat="false" ht="15" hidden="false" customHeight="true" outlineLevel="0" collapsed="false">
      <c r="A44" s="18" t="str">
        <f aca="false">IF($C44="","",COUNTA($C$8:$C44))</f>
        <v/>
      </c>
      <c r="B44" s="40"/>
      <c r="C44" s="41"/>
      <c r="D44" s="19"/>
      <c r="E44" s="19"/>
      <c r="F44" s="42"/>
      <c r="G44" s="35" t="str">
        <f aca="false">IF(OR($B44="",$F44=""),"",$B44+$F44)</f>
        <v/>
      </c>
      <c r="H44" s="43"/>
      <c r="I44" s="43"/>
      <c r="J44" s="37" t="n">
        <f aca="false">IF($H44="",0,$H44-N($I44))</f>
        <v>0</v>
      </c>
      <c r="K44" s="38" t="str">
        <f aca="false">IF($H44="","",IF($J44&lt;0,"Lebih Bayar",IF($J44=0,"Lunas",IF(N($I44)&gt;0,"Bayar Sebagian","Belum Bayar"))))</f>
        <v/>
      </c>
      <c r="L44" s="39" t="n">
        <f aca="true">IF(OR($H44="",$G44=""),0,IF($J44&lt;=0,0,TODAY()-$G44))</f>
        <v>0</v>
      </c>
      <c r="M44" s="38" t="str">
        <f aca="false">IF($H44="","",IF($J44&lt;0,"Lebih Bayar",IF($J44=0,"Lunas",IF($L44&lt;=0,"Belum Jatuh Tempo",IF($L44&lt;=30,"1-30 hari",IF($L44&lt;=60,"31-60 hari",IF($L44&lt;=90,"61-90 hari","Lebih dari 90 hari")))))))</f>
        <v/>
      </c>
      <c r="N44" s="18" t="str">
        <f aca="false">IF($H44="","",IF($L44&lt;=0,"",$L44*1000000+ROW()))</f>
        <v/>
      </c>
    </row>
    <row r="45" customFormat="false" ht="15" hidden="false" customHeight="true" outlineLevel="0" collapsed="false">
      <c r="A45" s="18" t="str">
        <f aca="false">IF($C45="","",COUNTA($C$8:$C45))</f>
        <v/>
      </c>
      <c r="B45" s="44"/>
      <c r="C45" s="45"/>
      <c r="D45" s="46"/>
      <c r="E45" s="46"/>
      <c r="F45" s="47"/>
      <c r="G45" s="35" t="str">
        <f aca="false">IF(OR($B45="",$F45=""),"",$B45+$F45)</f>
        <v/>
      </c>
      <c r="H45" s="48"/>
      <c r="I45" s="48"/>
      <c r="J45" s="37" t="n">
        <f aca="false">IF($H45="",0,$H45-N($I45))</f>
        <v>0</v>
      </c>
      <c r="K45" s="38" t="str">
        <f aca="false">IF($H45="","",IF($J45&lt;0,"Lebih Bayar",IF($J45=0,"Lunas",IF(N($I45)&gt;0,"Bayar Sebagian","Belum Bayar"))))</f>
        <v/>
      </c>
      <c r="L45" s="39" t="n">
        <f aca="true">IF(OR($H45="",$G45=""),0,IF($J45&lt;=0,0,TODAY()-$G45))</f>
        <v>0</v>
      </c>
      <c r="M45" s="38" t="str">
        <f aca="false">IF($H45="","",IF($J45&lt;0,"Lebih Bayar",IF($J45=0,"Lunas",IF($L45&lt;=0,"Belum Jatuh Tempo",IF($L45&lt;=30,"1-30 hari",IF($L45&lt;=60,"31-60 hari",IF($L45&lt;=90,"61-90 hari","Lebih dari 90 hari")))))))</f>
        <v/>
      </c>
      <c r="N45" s="18" t="str">
        <f aca="false">IF($H45="","",IF($L45&lt;=0,"",$L45*1000000+ROW()))</f>
        <v/>
      </c>
    </row>
    <row r="46" customFormat="false" ht="15" hidden="false" customHeight="true" outlineLevel="0" collapsed="false">
      <c r="A46" s="18" t="str">
        <f aca="false">IF($C46="","",COUNTA($C$8:$C46))</f>
        <v/>
      </c>
      <c r="B46" s="40"/>
      <c r="C46" s="41"/>
      <c r="D46" s="19"/>
      <c r="E46" s="19"/>
      <c r="F46" s="42"/>
      <c r="G46" s="35" t="str">
        <f aca="false">IF(OR($B46="",$F46=""),"",$B46+$F46)</f>
        <v/>
      </c>
      <c r="H46" s="43"/>
      <c r="I46" s="43"/>
      <c r="J46" s="37" t="n">
        <f aca="false">IF($H46="",0,$H46-N($I46))</f>
        <v>0</v>
      </c>
      <c r="K46" s="38" t="str">
        <f aca="false">IF($H46="","",IF($J46&lt;0,"Lebih Bayar",IF($J46=0,"Lunas",IF(N($I46)&gt;0,"Bayar Sebagian","Belum Bayar"))))</f>
        <v/>
      </c>
      <c r="L46" s="39" t="n">
        <f aca="true">IF(OR($H46="",$G46=""),0,IF($J46&lt;=0,0,TODAY()-$G46))</f>
        <v>0</v>
      </c>
      <c r="M46" s="38" t="str">
        <f aca="false">IF($H46="","",IF($J46&lt;0,"Lebih Bayar",IF($J46=0,"Lunas",IF($L46&lt;=0,"Belum Jatuh Tempo",IF($L46&lt;=30,"1-30 hari",IF($L46&lt;=60,"31-60 hari",IF($L46&lt;=90,"61-90 hari","Lebih dari 90 hari")))))))</f>
        <v/>
      </c>
      <c r="N46" s="18" t="str">
        <f aca="false">IF($H46="","",IF($L46&lt;=0,"",$L46*1000000+ROW()))</f>
        <v/>
      </c>
    </row>
    <row r="47" customFormat="false" ht="15" hidden="false" customHeight="true" outlineLevel="0" collapsed="false">
      <c r="A47" s="18" t="str">
        <f aca="false">IF($C47="","",COUNTA($C$8:$C47))</f>
        <v/>
      </c>
      <c r="B47" s="44"/>
      <c r="C47" s="45"/>
      <c r="D47" s="46"/>
      <c r="E47" s="46"/>
      <c r="F47" s="47"/>
      <c r="G47" s="35" t="str">
        <f aca="false">IF(OR($B47="",$F47=""),"",$B47+$F47)</f>
        <v/>
      </c>
      <c r="H47" s="48"/>
      <c r="I47" s="48"/>
      <c r="J47" s="37" t="n">
        <f aca="false">IF($H47="",0,$H47-N($I47))</f>
        <v>0</v>
      </c>
      <c r="K47" s="38" t="str">
        <f aca="false">IF($H47="","",IF($J47&lt;0,"Lebih Bayar",IF($J47=0,"Lunas",IF(N($I47)&gt;0,"Bayar Sebagian","Belum Bayar"))))</f>
        <v/>
      </c>
      <c r="L47" s="39" t="n">
        <f aca="true">IF(OR($H47="",$G47=""),0,IF($J47&lt;=0,0,TODAY()-$G47))</f>
        <v>0</v>
      </c>
      <c r="M47" s="38" t="str">
        <f aca="false">IF($H47="","",IF($J47&lt;0,"Lebih Bayar",IF($J47=0,"Lunas",IF($L47&lt;=0,"Belum Jatuh Tempo",IF($L47&lt;=30,"1-30 hari",IF($L47&lt;=60,"31-60 hari",IF($L47&lt;=90,"61-90 hari","Lebih dari 90 hari")))))))</f>
        <v/>
      </c>
      <c r="N47" s="18" t="str">
        <f aca="false">IF($H47="","",IF($L47&lt;=0,"",$L47*1000000+ROW()))</f>
        <v/>
      </c>
    </row>
    <row r="48" customFormat="false" ht="15" hidden="false" customHeight="true" outlineLevel="0" collapsed="false">
      <c r="A48" s="18" t="str">
        <f aca="false">IF($C48="","",COUNTA($C$8:$C48))</f>
        <v/>
      </c>
      <c r="B48" s="40"/>
      <c r="C48" s="41"/>
      <c r="D48" s="19"/>
      <c r="E48" s="19"/>
      <c r="F48" s="42"/>
      <c r="G48" s="35" t="str">
        <f aca="false">IF(OR($B48="",$F48=""),"",$B48+$F48)</f>
        <v/>
      </c>
      <c r="H48" s="43"/>
      <c r="I48" s="43"/>
      <c r="J48" s="37" t="n">
        <f aca="false">IF($H48="",0,$H48-N($I48))</f>
        <v>0</v>
      </c>
      <c r="K48" s="38" t="str">
        <f aca="false">IF($H48="","",IF($J48&lt;0,"Lebih Bayar",IF($J48=0,"Lunas",IF(N($I48)&gt;0,"Bayar Sebagian","Belum Bayar"))))</f>
        <v/>
      </c>
      <c r="L48" s="39" t="n">
        <f aca="true">IF(OR($H48="",$G48=""),0,IF($J48&lt;=0,0,TODAY()-$G48))</f>
        <v>0</v>
      </c>
      <c r="M48" s="38" t="str">
        <f aca="false">IF($H48="","",IF($J48&lt;0,"Lebih Bayar",IF($J48=0,"Lunas",IF($L48&lt;=0,"Belum Jatuh Tempo",IF($L48&lt;=30,"1-30 hari",IF($L48&lt;=60,"31-60 hari",IF($L48&lt;=90,"61-90 hari","Lebih dari 90 hari")))))))</f>
        <v/>
      </c>
      <c r="N48" s="18" t="str">
        <f aca="false">IF($H48="","",IF($L48&lt;=0,"",$L48*1000000+ROW()))</f>
        <v/>
      </c>
    </row>
    <row r="49" customFormat="false" ht="15" hidden="false" customHeight="true" outlineLevel="0" collapsed="false">
      <c r="A49" s="18" t="str">
        <f aca="false">IF($C49="","",COUNTA($C$8:$C49))</f>
        <v/>
      </c>
      <c r="B49" s="44"/>
      <c r="C49" s="45"/>
      <c r="D49" s="46"/>
      <c r="E49" s="46"/>
      <c r="F49" s="47"/>
      <c r="G49" s="35" t="str">
        <f aca="false">IF(OR($B49="",$F49=""),"",$B49+$F49)</f>
        <v/>
      </c>
      <c r="H49" s="48"/>
      <c r="I49" s="48"/>
      <c r="J49" s="37" t="n">
        <f aca="false">IF($H49="",0,$H49-N($I49))</f>
        <v>0</v>
      </c>
      <c r="K49" s="38" t="str">
        <f aca="false">IF($H49="","",IF($J49&lt;0,"Lebih Bayar",IF($J49=0,"Lunas",IF(N($I49)&gt;0,"Bayar Sebagian","Belum Bayar"))))</f>
        <v/>
      </c>
      <c r="L49" s="39" t="n">
        <f aca="true">IF(OR($H49="",$G49=""),0,IF($J49&lt;=0,0,TODAY()-$G49))</f>
        <v>0</v>
      </c>
      <c r="M49" s="38" t="str">
        <f aca="false">IF($H49="","",IF($J49&lt;0,"Lebih Bayar",IF($J49=0,"Lunas",IF($L49&lt;=0,"Belum Jatuh Tempo",IF($L49&lt;=30,"1-30 hari",IF($L49&lt;=60,"31-60 hari",IF($L49&lt;=90,"61-90 hari","Lebih dari 90 hari")))))))</f>
        <v/>
      </c>
      <c r="N49" s="18" t="str">
        <f aca="false">IF($H49="","",IF($L49&lt;=0,"",$L49*1000000+ROW()))</f>
        <v/>
      </c>
    </row>
    <row r="50" customFormat="false" ht="15" hidden="false" customHeight="true" outlineLevel="0" collapsed="false">
      <c r="A50" s="18" t="str">
        <f aca="false">IF($C50="","",COUNTA($C$8:$C50))</f>
        <v/>
      </c>
      <c r="B50" s="40"/>
      <c r="C50" s="41"/>
      <c r="D50" s="19"/>
      <c r="E50" s="19"/>
      <c r="F50" s="42"/>
      <c r="G50" s="35" t="str">
        <f aca="false">IF(OR($B50="",$F50=""),"",$B50+$F50)</f>
        <v/>
      </c>
      <c r="H50" s="43"/>
      <c r="I50" s="43"/>
      <c r="J50" s="37" t="n">
        <f aca="false">IF($H50="",0,$H50-N($I50))</f>
        <v>0</v>
      </c>
      <c r="K50" s="38" t="str">
        <f aca="false">IF($H50="","",IF($J50&lt;0,"Lebih Bayar",IF($J50=0,"Lunas",IF(N($I50)&gt;0,"Bayar Sebagian","Belum Bayar"))))</f>
        <v/>
      </c>
      <c r="L50" s="39" t="n">
        <f aca="true">IF(OR($H50="",$G50=""),0,IF($J50&lt;=0,0,TODAY()-$G50))</f>
        <v>0</v>
      </c>
      <c r="M50" s="38" t="str">
        <f aca="false">IF($H50="","",IF($J50&lt;0,"Lebih Bayar",IF($J50=0,"Lunas",IF($L50&lt;=0,"Belum Jatuh Tempo",IF($L50&lt;=30,"1-30 hari",IF($L50&lt;=60,"31-60 hari",IF($L50&lt;=90,"61-90 hari","Lebih dari 90 hari")))))))</f>
        <v/>
      </c>
      <c r="N50" s="18" t="str">
        <f aca="false">IF($H50="","",IF($L50&lt;=0,"",$L50*1000000+ROW()))</f>
        <v/>
      </c>
    </row>
    <row r="51" customFormat="false" ht="15" hidden="false" customHeight="true" outlineLevel="0" collapsed="false">
      <c r="A51" s="18" t="str">
        <f aca="false">IF($C51="","",COUNTA($C$8:$C51))</f>
        <v/>
      </c>
      <c r="B51" s="44"/>
      <c r="C51" s="45"/>
      <c r="D51" s="46"/>
      <c r="E51" s="46"/>
      <c r="F51" s="47"/>
      <c r="G51" s="35" t="str">
        <f aca="false">IF(OR($B51="",$F51=""),"",$B51+$F51)</f>
        <v/>
      </c>
      <c r="H51" s="48"/>
      <c r="I51" s="48"/>
      <c r="J51" s="37" t="n">
        <f aca="false">IF($H51="",0,$H51-N($I51))</f>
        <v>0</v>
      </c>
      <c r="K51" s="38" t="str">
        <f aca="false">IF($H51="","",IF($J51&lt;0,"Lebih Bayar",IF($J51=0,"Lunas",IF(N($I51)&gt;0,"Bayar Sebagian","Belum Bayar"))))</f>
        <v/>
      </c>
      <c r="L51" s="39" t="n">
        <f aca="true">IF(OR($H51="",$G51=""),0,IF($J51&lt;=0,0,TODAY()-$G51))</f>
        <v>0</v>
      </c>
      <c r="M51" s="38" t="str">
        <f aca="false">IF($H51="","",IF($J51&lt;0,"Lebih Bayar",IF($J51=0,"Lunas",IF($L51&lt;=0,"Belum Jatuh Tempo",IF($L51&lt;=30,"1-30 hari",IF($L51&lt;=60,"31-60 hari",IF($L51&lt;=90,"61-90 hari","Lebih dari 90 hari")))))))</f>
        <v/>
      </c>
      <c r="N51" s="18" t="str">
        <f aca="false">IF($H51="","",IF($L51&lt;=0,"",$L51*1000000+ROW()))</f>
        <v/>
      </c>
    </row>
    <row r="52" customFormat="false" ht="15" hidden="false" customHeight="true" outlineLevel="0" collapsed="false">
      <c r="A52" s="18" t="str">
        <f aca="false">IF($C52="","",COUNTA($C$8:$C52))</f>
        <v/>
      </c>
      <c r="B52" s="40"/>
      <c r="C52" s="41"/>
      <c r="D52" s="19"/>
      <c r="E52" s="19"/>
      <c r="F52" s="42"/>
      <c r="G52" s="35" t="str">
        <f aca="false">IF(OR($B52="",$F52=""),"",$B52+$F52)</f>
        <v/>
      </c>
      <c r="H52" s="43"/>
      <c r="I52" s="43"/>
      <c r="J52" s="37" t="n">
        <f aca="false">IF($H52="",0,$H52-N($I52))</f>
        <v>0</v>
      </c>
      <c r="K52" s="38" t="str">
        <f aca="false">IF($H52="","",IF($J52&lt;0,"Lebih Bayar",IF($J52=0,"Lunas",IF(N($I52)&gt;0,"Bayar Sebagian","Belum Bayar"))))</f>
        <v/>
      </c>
      <c r="L52" s="39" t="n">
        <f aca="true">IF(OR($H52="",$G52=""),0,IF($J52&lt;=0,0,TODAY()-$G52))</f>
        <v>0</v>
      </c>
      <c r="M52" s="38" t="str">
        <f aca="false">IF($H52="","",IF($J52&lt;0,"Lebih Bayar",IF($J52=0,"Lunas",IF($L52&lt;=0,"Belum Jatuh Tempo",IF($L52&lt;=30,"1-30 hari",IF($L52&lt;=60,"31-60 hari",IF($L52&lt;=90,"61-90 hari","Lebih dari 90 hari")))))))</f>
        <v/>
      </c>
      <c r="N52" s="18" t="str">
        <f aca="false">IF($H52="","",IF($L52&lt;=0,"",$L52*1000000+ROW()))</f>
        <v/>
      </c>
    </row>
    <row r="53" customFormat="false" ht="15" hidden="false" customHeight="true" outlineLevel="0" collapsed="false">
      <c r="A53" s="18" t="str">
        <f aca="false">IF($C53="","",COUNTA($C$8:$C53))</f>
        <v/>
      </c>
      <c r="B53" s="44"/>
      <c r="C53" s="45"/>
      <c r="D53" s="46"/>
      <c r="E53" s="46"/>
      <c r="F53" s="47"/>
      <c r="G53" s="35" t="str">
        <f aca="false">IF(OR($B53="",$F53=""),"",$B53+$F53)</f>
        <v/>
      </c>
      <c r="H53" s="48"/>
      <c r="I53" s="48"/>
      <c r="J53" s="37" t="n">
        <f aca="false">IF($H53="",0,$H53-N($I53))</f>
        <v>0</v>
      </c>
      <c r="K53" s="38" t="str">
        <f aca="false">IF($H53="","",IF($J53&lt;0,"Lebih Bayar",IF($J53=0,"Lunas",IF(N($I53)&gt;0,"Bayar Sebagian","Belum Bayar"))))</f>
        <v/>
      </c>
      <c r="L53" s="39" t="n">
        <f aca="true">IF(OR($H53="",$G53=""),0,IF($J53&lt;=0,0,TODAY()-$G53))</f>
        <v>0</v>
      </c>
      <c r="M53" s="38" t="str">
        <f aca="false">IF($H53="","",IF($J53&lt;0,"Lebih Bayar",IF($J53=0,"Lunas",IF($L53&lt;=0,"Belum Jatuh Tempo",IF($L53&lt;=30,"1-30 hari",IF($L53&lt;=60,"31-60 hari",IF($L53&lt;=90,"61-90 hari","Lebih dari 90 hari")))))))</f>
        <v/>
      </c>
      <c r="N53" s="18" t="str">
        <f aca="false">IF($H53="","",IF($L53&lt;=0,"",$L53*1000000+ROW()))</f>
        <v/>
      </c>
    </row>
    <row r="54" customFormat="false" ht="15" hidden="false" customHeight="true" outlineLevel="0" collapsed="false">
      <c r="A54" s="18" t="str">
        <f aca="false">IF($C54="","",COUNTA($C$8:$C54))</f>
        <v/>
      </c>
      <c r="B54" s="40"/>
      <c r="C54" s="41"/>
      <c r="D54" s="19"/>
      <c r="E54" s="19"/>
      <c r="F54" s="42"/>
      <c r="G54" s="35" t="str">
        <f aca="false">IF(OR($B54="",$F54=""),"",$B54+$F54)</f>
        <v/>
      </c>
      <c r="H54" s="43"/>
      <c r="I54" s="43"/>
      <c r="J54" s="37" t="n">
        <f aca="false">IF($H54="",0,$H54-N($I54))</f>
        <v>0</v>
      </c>
      <c r="K54" s="38" t="str">
        <f aca="false">IF($H54="","",IF($J54&lt;0,"Lebih Bayar",IF($J54=0,"Lunas",IF(N($I54)&gt;0,"Bayar Sebagian","Belum Bayar"))))</f>
        <v/>
      </c>
      <c r="L54" s="39" t="n">
        <f aca="true">IF(OR($H54="",$G54=""),0,IF($J54&lt;=0,0,TODAY()-$G54))</f>
        <v>0</v>
      </c>
      <c r="M54" s="38" t="str">
        <f aca="false">IF($H54="","",IF($J54&lt;0,"Lebih Bayar",IF($J54=0,"Lunas",IF($L54&lt;=0,"Belum Jatuh Tempo",IF($L54&lt;=30,"1-30 hari",IF($L54&lt;=60,"31-60 hari",IF($L54&lt;=90,"61-90 hari","Lebih dari 90 hari")))))))</f>
        <v/>
      </c>
      <c r="N54" s="18" t="str">
        <f aca="false">IF($H54="","",IF($L54&lt;=0,"",$L54*1000000+ROW()))</f>
        <v/>
      </c>
    </row>
    <row r="55" customFormat="false" ht="15" hidden="false" customHeight="true" outlineLevel="0" collapsed="false">
      <c r="A55" s="18" t="str">
        <f aca="false">IF($C55="","",COUNTA($C$8:$C55))</f>
        <v/>
      </c>
      <c r="B55" s="44"/>
      <c r="C55" s="45"/>
      <c r="D55" s="46"/>
      <c r="E55" s="46"/>
      <c r="F55" s="47"/>
      <c r="G55" s="35" t="str">
        <f aca="false">IF(OR($B55="",$F55=""),"",$B55+$F55)</f>
        <v/>
      </c>
      <c r="H55" s="48"/>
      <c r="I55" s="48"/>
      <c r="J55" s="37" t="n">
        <f aca="false">IF($H55="",0,$H55-N($I55))</f>
        <v>0</v>
      </c>
      <c r="K55" s="38" t="str">
        <f aca="false">IF($H55="","",IF($J55&lt;0,"Lebih Bayar",IF($J55=0,"Lunas",IF(N($I55)&gt;0,"Bayar Sebagian","Belum Bayar"))))</f>
        <v/>
      </c>
      <c r="L55" s="39" t="n">
        <f aca="true">IF(OR($H55="",$G55=""),0,IF($J55&lt;=0,0,TODAY()-$G55))</f>
        <v>0</v>
      </c>
      <c r="M55" s="38" t="str">
        <f aca="false">IF($H55="","",IF($J55&lt;0,"Lebih Bayar",IF($J55=0,"Lunas",IF($L55&lt;=0,"Belum Jatuh Tempo",IF($L55&lt;=30,"1-30 hari",IF($L55&lt;=60,"31-60 hari",IF($L55&lt;=90,"61-90 hari","Lebih dari 90 hari")))))))</f>
        <v/>
      </c>
      <c r="N55" s="18" t="str">
        <f aca="false">IF($H55="","",IF($L55&lt;=0,"",$L55*1000000+ROW()))</f>
        <v/>
      </c>
    </row>
    <row r="56" customFormat="false" ht="15" hidden="false" customHeight="true" outlineLevel="0" collapsed="false">
      <c r="A56" s="18" t="str">
        <f aca="false">IF($C56="","",COUNTA($C$8:$C56))</f>
        <v/>
      </c>
      <c r="B56" s="40"/>
      <c r="C56" s="41"/>
      <c r="D56" s="19"/>
      <c r="E56" s="19"/>
      <c r="F56" s="42"/>
      <c r="G56" s="35" t="str">
        <f aca="false">IF(OR($B56="",$F56=""),"",$B56+$F56)</f>
        <v/>
      </c>
      <c r="H56" s="43"/>
      <c r="I56" s="43"/>
      <c r="J56" s="37" t="n">
        <f aca="false">IF($H56="",0,$H56-N($I56))</f>
        <v>0</v>
      </c>
      <c r="K56" s="38" t="str">
        <f aca="false">IF($H56="","",IF($J56&lt;0,"Lebih Bayar",IF($J56=0,"Lunas",IF(N($I56)&gt;0,"Bayar Sebagian","Belum Bayar"))))</f>
        <v/>
      </c>
      <c r="L56" s="39" t="n">
        <f aca="true">IF(OR($H56="",$G56=""),0,IF($J56&lt;=0,0,TODAY()-$G56))</f>
        <v>0</v>
      </c>
      <c r="M56" s="38" t="str">
        <f aca="false">IF($H56="","",IF($J56&lt;0,"Lebih Bayar",IF($J56=0,"Lunas",IF($L56&lt;=0,"Belum Jatuh Tempo",IF($L56&lt;=30,"1-30 hari",IF($L56&lt;=60,"31-60 hari",IF($L56&lt;=90,"61-90 hari","Lebih dari 90 hari")))))))</f>
        <v/>
      </c>
      <c r="N56" s="18" t="str">
        <f aca="false">IF($H56="","",IF($L56&lt;=0,"",$L56*1000000+ROW()))</f>
        <v/>
      </c>
    </row>
    <row r="57" customFormat="false" ht="15" hidden="false" customHeight="true" outlineLevel="0" collapsed="false">
      <c r="A57" s="18" t="str">
        <f aca="false">IF($C57="","",COUNTA($C$8:$C57))</f>
        <v/>
      </c>
      <c r="B57" s="44"/>
      <c r="C57" s="45"/>
      <c r="D57" s="46"/>
      <c r="E57" s="46"/>
      <c r="F57" s="47"/>
      <c r="G57" s="35" t="str">
        <f aca="false">IF(OR($B57="",$F57=""),"",$B57+$F57)</f>
        <v/>
      </c>
      <c r="H57" s="48"/>
      <c r="I57" s="48"/>
      <c r="J57" s="37" t="n">
        <f aca="false">IF($H57="",0,$H57-N($I57))</f>
        <v>0</v>
      </c>
      <c r="K57" s="38" t="str">
        <f aca="false">IF($H57="","",IF($J57&lt;0,"Lebih Bayar",IF($J57=0,"Lunas",IF(N($I57)&gt;0,"Bayar Sebagian","Belum Bayar"))))</f>
        <v/>
      </c>
      <c r="L57" s="39" t="n">
        <f aca="true">IF(OR($H57="",$G57=""),0,IF($J57&lt;=0,0,TODAY()-$G57))</f>
        <v>0</v>
      </c>
      <c r="M57" s="38" t="str">
        <f aca="false">IF($H57="","",IF($J57&lt;0,"Lebih Bayar",IF($J57=0,"Lunas",IF($L57&lt;=0,"Belum Jatuh Tempo",IF($L57&lt;=30,"1-30 hari",IF($L57&lt;=60,"31-60 hari",IF($L57&lt;=90,"61-90 hari","Lebih dari 90 hari")))))))</f>
        <v/>
      </c>
      <c r="N57" s="18" t="str">
        <f aca="false">IF($H57="","",IF($L57&lt;=0,"",$L57*1000000+ROW()))</f>
        <v/>
      </c>
    </row>
    <row r="58" customFormat="false" ht="15" hidden="false" customHeight="true" outlineLevel="0" collapsed="false">
      <c r="A58" s="18" t="str">
        <f aca="false">IF($C58="","",COUNTA($C$8:$C58))</f>
        <v/>
      </c>
      <c r="B58" s="40"/>
      <c r="C58" s="41"/>
      <c r="D58" s="19"/>
      <c r="E58" s="19"/>
      <c r="F58" s="42"/>
      <c r="G58" s="35" t="str">
        <f aca="false">IF(OR($B58="",$F58=""),"",$B58+$F58)</f>
        <v/>
      </c>
      <c r="H58" s="43"/>
      <c r="I58" s="43"/>
      <c r="J58" s="37" t="n">
        <f aca="false">IF($H58="",0,$H58-N($I58))</f>
        <v>0</v>
      </c>
      <c r="K58" s="38" t="str">
        <f aca="false">IF($H58="","",IF($J58&lt;0,"Lebih Bayar",IF($J58=0,"Lunas",IF(N($I58)&gt;0,"Bayar Sebagian","Belum Bayar"))))</f>
        <v/>
      </c>
      <c r="L58" s="39" t="n">
        <f aca="true">IF(OR($H58="",$G58=""),0,IF($J58&lt;=0,0,TODAY()-$G58))</f>
        <v>0</v>
      </c>
      <c r="M58" s="38" t="str">
        <f aca="false">IF($H58="","",IF($J58&lt;0,"Lebih Bayar",IF($J58=0,"Lunas",IF($L58&lt;=0,"Belum Jatuh Tempo",IF($L58&lt;=30,"1-30 hari",IF($L58&lt;=60,"31-60 hari",IF($L58&lt;=90,"61-90 hari","Lebih dari 90 hari")))))))</f>
        <v/>
      </c>
      <c r="N58" s="18" t="str">
        <f aca="false">IF($H58="","",IF($L58&lt;=0,"",$L58*1000000+ROW()))</f>
        <v/>
      </c>
    </row>
    <row r="59" customFormat="false" ht="15" hidden="false" customHeight="true" outlineLevel="0" collapsed="false">
      <c r="A59" s="18" t="str">
        <f aca="false">IF($C59="","",COUNTA($C$8:$C59))</f>
        <v/>
      </c>
      <c r="B59" s="44"/>
      <c r="C59" s="45"/>
      <c r="D59" s="46"/>
      <c r="E59" s="46"/>
      <c r="F59" s="47"/>
      <c r="G59" s="35" t="str">
        <f aca="false">IF(OR($B59="",$F59=""),"",$B59+$F59)</f>
        <v/>
      </c>
      <c r="H59" s="48"/>
      <c r="I59" s="48"/>
      <c r="J59" s="37" t="n">
        <f aca="false">IF($H59="",0,$H59-N($I59))</f>
        <v>0</v>
      </c>
      <c r="K59" s="38" t="str">
        <f aca="false">IF($H59="","",IF($J59&lt;0,"Lebih Bayar",IF($J59=0,"Lunas",IF(N($I59)&gt;0,"Bayar Sebagian","Belum Bayar"))))</f>
        <v/>
      </c>
      <c r="L59" s="39" t="n">
        <f aca="true">IF(OR($H59="",$G59=""),0,IF($J59&lt;=0,0,TODAY()-$G59))</f>
        <v>0</v>
      </c>
      <c r="M59" s="38" t="str">
        <f aca="false">IF($H59="","",IF($J59&lt;0,"Lebih Bayar",IF($J59=0,"Lunas",IF($L59&lt;=0,"Belum Jatuh Tempo",IF($L59&lt;=30,"1-30 hari",IF($L59&lt;=60,"31-60 hari",IF($L59&lt;=90,"61-90 hari","Lebih dari 90 hari")))))))</f>
        <v/>
      </c>
      <c r="N59" s="18" t="str">
        <f aca="false">IF($H59="","",IF($L59&lt;=0,"",$L59*1000000+ROW()))</f>
        <v/>
      </c>
    </row>
    <row r="60" customFormat="false" ht="15" hidden="false" customHeight="true" outlineLevel="0" collapsed="false">
      <c r="A60" s="18" t="str">
        <f aca="false">IF($C60="","",COUNTA($C$8:$C60))</f>
        <v/>
      </c>
      <c r="B60" s="40"/>
      <c r="C60" s="41"/>
      <c r="D60" s="19"/>
      <c r="E60" s="19"/>
      <c r="F60" s="42"/>
      <c r="G60" s="35" t="str">
        <f aca="false">IF(OR($B60="",$F60=""),"",$B60+$F60)</f>
        <v/>
      </c>
      <c r="H60" s="43"/>
      <c r="I60" s="43"/>
      <c r="J60" s="37" t="n">
        <f aca="false">IF($H60="",0,$H60-N($I60))</f>
        <v>0</v>
      </c>
      <c r="K60" s="38" t="str">
        <f aca="false">IF($H60="","",IF($J60&lt;0,"Lebih Bayar",IF($J60=0,"Lunas",IF(N($I60)&gt;0,"Bayar Sebagian","Belum Bayar"))))</f>
        <v/>
      </c>
      <c r="L60" s="39" t="n">
        <f aca="true">IF(OR($H60="",$G60=""),0,IF($J60&lt;=0,0,TODAY()-$G60))</f>
        <v>0</v>
      </c>
      <c r="M60" s="38" t="str">
        <f aca="false">IF($H60="","",IF($J60&lt;0,"Lebih Bayar",IF($J60=0,"Lunas",IF($L60&lt;=0,"Belum Jatuh Tempo",IF($L60&lt;=30,"1-30 hari",IF($L60&lt;=60,"31-60 hari",IF($L60&lt;=90,"61-90 hari","Lebih dari 90 hari")))))))</f>
        <v/>
      </c>
      <c r="N60" s="18" t="str">
        <f aca="false">IF($H60="","",IF($L60&lt;=0,"",$L60*1000000+ROW()))</f>
        <v/>
      </c>
    </row>
    <row r="61" customFormat="false" ht="15" hidden="false" customHeight="true" outlineLevel="0" collapsed="false">
      <c r="A61" s="18" t="str">
        <f aca="false">IF($C61="","",COUNTA($C$8:$C61))</f>
        <v/>
      </c>
      <c r="B61" s="44"/>
      <c r="C61" s="45"/>
      <c r="D61" s="46"/>
      <c r="E61" s="46"/>
      <c r="F61" s="47"/>
      <c r="G61" s="35" t="str">
        <f aca="false">IF(OR($B61="",$F61=""),"",$B61+$F61)</f>
        <v/>
      </c>
      <c r="H61" s="48"/>
      <c r="I61" s="48"/>
      <c r="J61" s="37" t="n">
        <f aca="false">IF($H61="",0,$H61-N($I61))</f>
        <v>0</v>
      </c>
      <c r="K61" s="38" t="str">
        <f aca="false">IF($H61="","",IF($J61&lt;0,"Lebih Bayar",IF($J61=0,"Lunas",IF(N($I61)&gt;0,"Bayar Sebagian","Belum Bayar"))))</f>
        <v/>
      </c>
      <c r="L61" s="39" t="n">
        <f aca="true">IF(OR($H61="",$G61=""),0,IF($J61&lt;=0,0,TODAY()-$G61))</f>
        <v>0</v>
      </c>
      <c r="M61" s="38" t="str">
        <f aca="false">IF($H61="","",IF($J61&lt;0,"Lebih Bayar",IF($J61=0,"Lunas",IF($L61&lt;=0,"Belum Jatuh Tempo",IF($L61&lt;=30,"1-30 hari",IF($L61&lt;=60,"31-60 hari",IF($L61&lt;=90,"61-90 hari","Lebih dari 90 hari")))))))</f>
        <v/>
      </c>
      <c r="N61" s="18" t="str">
        <f aca="false">IF($H61="","",IF($L61&lt;=0,"",$L61*1000000+ROW()))</f>
        <v/>
      </c>
    </row>
    <row r="62" customFormat="false" ht="15" hidden="false" customHeight="true" outlineLevel="0" collapsed="false">
      <c r="A62" s="18" t="str">
        <f aca="false">IF($C62="","",COUNTA($C$8:$C62))</f>
        <v/>
      </c>
      <c r="B62" s="40"/>
      <c r="C62" s="41"/>
      <c r="D62" s="19"/>
      <c r="E62" s="19"/>
      <c r="F62" s="42"/>
      <c r="G62" s="35" t="str">
        <f aca="false">IF(OR($B62="",$F62=""),"",$B62+$F62)</f>
        <v/>
      </c>
      <c r="H62" s="43"/>
      <c r="I62" s="43"/>
      <c r="J62" s="37" t="n">
        <f aca="false">IF($H62="",0,$H62-N($I62))</f>
        <v>0</v>
      </c>
      <c r="K62" s="38" t="str">
        <f aca="false">IF($H62="","",IF($J62&lt;0,"Lebih Bayar",IF($J62=0,"Lunas",IF(N($I62)&gt;0,"Bayar Sebagian","Belum Bayar"))))</f>
        <v/>
      </c>
      <c r="L62" s="39" t="n">
        <f aca="true">IF(OR($H62="",$G62=""),0,IF($J62&lt;=0,0,TODAY()-$G62))</f>
        <v>0</v>
      </c>
      <c r="M62" s="38" t="str">
        <f aca="false">IF($H62="","",IF($J62&lt;0,"Lebih Bayar",IF($J62=0,"Lunas",IF($L62&lt;=0,"Belum Jatuh Tempo",IF($L62&lt;=30,"1-30 hari",IF($L62&lt;=60,"31-60 hari",IF($L62&lt;=90,"61-90 hari","Lebih dari 90 hari")))))))</f>
        <v/>
      </c>
      <c r="N62" s="18" t="str">
        <f aca="false">IF($H62="","",IF($L62&lt;=0,"",$L62*1000000+ROW()))</f>
        <v/>
      </c>
    </row>
    <row r="63" customFormat="false" ht="15" hidden="false" customHeight="true" outlineLevel="0" collapsed="false">
      <c r="A63" s="18" t="str">
        <f aca="false">IF($C63="","",COUNTA($C$8:$C63))</f>
        <v/>
      </c>
      <c r="B63" s="44"/>
      <c r="C63" s="45"/>
      <c r="D63" s="46"/>
      <c r="E63" s="46"/>
      <c r="F63" s="47"/>
      <c r="G63" s="35" t="str">
        <f aca="false">IF(OR($B63="",$F63=""),"",$B63+$F63)</f>
        <v/>
      </c>
      <c r="H63" s="48"/>
      <c r="I63" s="48"/>
      <c r="J63" s="37" t="n">
        <f aca="false">IF($H63="",0,$H63-N($I63))</f>
        <v>0</v>
      </c>
      <c r="K63" s="38" t="str">
        <f aca="false">IF($H63="","",IF($J63&lt;0,"Lebih Bayar",IF($J63=0,"Lunas",IF(N($I63)&gt;0,"Bayar Sebagian","Belum Bayar"))))</f>
        <v/>
      </c>
      <c r="L63" s="39" t="n">
        <f aca="true">IF(OR($H63="",$G63=""),0,IF($J63&lt;=0,0,TODAY()-$G63))</f>
        <v>0</v>
      </c>
      <c r="M63" s="38" t="str">
        <f aca="false">IF($H63="","",IF($J63&lt;0,"Lebih Bayar",IF($J63=0,"Lunas",IF($L63&lt;=0,"Belum Jatuh Tempo",IF($L63&lt;=30,"1-30 hari",IF($L63&lt;=60,"31-60 hari",IF($L63&lt;=90,"61-90 hari","Lebih dari 90 hari")))))))</f>
        <v/>
      </c>
      <c r="N63" s="18" t="str">
        <f aca="false">IF($H63="","",IF($L63&lt;=0,"",$L63*1000000+ROW()))</f>
        <v/>
      </c>
    </row>
    <row r="64" customFormat="false" ht="15" hidden="false" customHeight="true" outlineLevel="0" collapsed="false">
      <c r="A64" s="18" t="str">
        <f aca="false">IF($C64="","",COUNTA($C$8:$C64))</f>
        <v/>
      </c>
      <c r="B64" s="40"/>
      <c r="C64" s="41"/>
      <c r="D64" s="19"/>
      <c r="E64" s="19"/>
      <c r="F64" s="42"/>
      <c r="G64" s="35" t="str">
        <f aca="false">IF(OR($B64="",$F64=""),"",$B64+$F64)</f>
        <v/>
      </c>
      <c r="H64" s="43"/>
      <c r="I64" s="43"/>
      <c r="J64" s="37" t="n">
        <f aca="false">IF($H64="",0,$H64-N($I64))</f>
        <v>0</v>
      </c>
      <c r="K64" s="38" t="str">
        <f aca="false">IF($H64="","",IF($J64&lt;0,"Lebih Bayar",IF($J64=0,"Lunas",IF(N($I64)&gt;0,"Bayar Sebagian","Belum Bayar"))))</f>
        <v/>
      </c>
      <c r="L64" s="39" t="n">
        <f aca="true">IF(OR($H64="",$G64=""),0,IF($J64&lt;=0,0,TODAY()-$G64))</f>
        <v>0</v>
      </c>
      <c r="M64" s="38" t="str">
        <f aca="false">IF($H64="","",IF($J64&lt;0,"Lebih Bayar",IF($J64=0,"Lunas",IF($L64&lt;=0,"Belum Jatuh Tempo",IF($L64&lt;=30,"1-30 hari",IF($L64&lt;=60,"31-60 hari",IF($L64&lt;=90,"61-90 hari","Lebih dari 90 hari")))))))</f>
        <v/>
      </c>
      <c r="N64" s="18" t="str">
        <f aca="false">IF($H64="","",IF($L64&lt;=0,"",$L64*1000000+ROW()))</f>
        <v/>
      </c>
    </row>
    <row r="65" customFormat="false" ht="15" hidden="false" customHeight="true" outlineLevel="0" collapsed="false">
      <c r="A65" s="18" t="str">
        <f aca="false">IF($C65="","",COUNTA($C$8:$C65))</f>
        <v/>
      </c>
      <c r="B65" s="44"/>
      <c r="C65" s="45"/>
      <c r="D65" s="46"/>
      <c r="E65" s="46"/>
      <c r="F65" s="47"/>
      <c r="G65" s="35" t="str">
        <f aca="false">IF(OR($B65="",$F65=""),"",$B65+$F65)</f>
        <v/>
      </c>
      <c r="H65" s="48"/>
      <c r="I65" s="48"/>
      <c r="J65" s="37" t="n">
        <f aca="false">IF($H65="",0,$H65-N($I65))</f>
        <v>0</v>
      </c>
      <c r="K65" s="38" t="str">
        <f aca="false">IF($H65="","",IF($J65&lt;0,"Lebih Bayar",IF($J65=0,"Lunas",IF(N($I65)&gt;0,"Bayar Sebagian","Belum Bayar"))))</f>
        <v/>
      </c>
      <c r="L65" s="39" t="n">
        <f aca="true">IF(OR($H65="",$G65=""),0,IF($J65&lt;=0,0,TODAY()-$G65))</f>
        <v>0</v>
      </c>
      <c r="M65" s="38" t="str">
        <f aca="false">IF($H65="","",IF($J65&lt;0,"Lebih Bayar",IF($J65=0,"Lunas",IF($L65&lt;=0,"Belum Jatuh Tempo",IF($L65&lt;=30,"1-30 hari",IF($L65&lt;=60,"31-60 hari",IF($L65&lt;=90,"61-90 hari","Lebih dari 90 hari")))))))</f>
        <v/>
      </c>
      <c r="N65" s="18" t="str">
        <f aca="false">IF($H65="","",IF($L65&lt;=0,"",$L65*1000000+ROW()))</f>
        <v/>
      </c>
    </row>
    <row r="66" customFormat="false" ht="15" hidden="false" customHeight="true" outlineLevel="0" collapsed="false">
      <c r="A66" s="18" t="str">
        <f aca="false">IF($C66="","",COUNTA($C$8:$C66))</f>
        <v/>
      </c>
      <c r="B66" s="40"/>
      <c r="C66" s="41"/>
      <c r="D66" s="19"/>
      <c r="E66" s="19"/>
      <c r="F66" s="42"/>
      <c r="G66" s="35" t="str">
        <f aca="false">IF(OR($B66="",$F66=""),"",$B66+$F66)</f>
        <v/>
      </c>
      <c r="H66" s="43"/>
      <c r="I66" s="43"/>
      <c r="J66" s="37" t="n">
        <f aca="false">IF($H66="",0,$H66-N($I66))</f>
        <v>0</v>
      </c>
      <c r="K66" s="38" t="str">
        <f aca="false">IF($H66="","",IF($J66&lt;0,"Lebih Bayar",IF($J66=0,"Lunas",IF(N($I66)&gt;0,"Bayar Sebagian","Belum Bayar"))))</f>
        <v/>
      </c>
      <c r="L66" s="39" t="n">
        <f aca="true">IF(OR($H66="",$G66=""),0,IF($J66&lt;=0,0,TODAY()-$G66))</f>
        <v>0</v>
      </c>
      <c r="M66" s="38" t="str">
        <f aca="false">IF($H66="","",IF($J66&lt;0,"Lebih Bayar",IF($J66=0,"Lunas",IF($L66&lt;=0,"Belum Jatuh Tempo",IF($L66&lt;=30,"1-30 hari",IF($L66&lt;=60,"31-60 hari",IF($L66&lt;=90,"61-90 hari","Lebih dari 90 hari")))))))</f>
        <v/>
      </c>
      <c r="N66" s="18" t="str">
        <f aca="false">IF($H66="","",IF($L66&lt;=0,"",$L66*1000000+ROW()))</f>
        <v/>
      </c>
    </row>
    <row r="67" customFormat="false" ht="15" hidden="false" customHeight="true" outlineLevel="0" collapsed="false">
      <c r="A67" s="18" t="str">
        <f aca="false">IF($C67="","",COUNTA($C$8:$C67))</f>
        <v/>
      </c>
      <c r="B67" s="44"/>
      <c r="C67" s="45"/>
      <c r="D67" s="46"/>
      <c r="E67" s="46"/>
      <c r="F67" s="47"/>
      <c r="G67" s="35" t="str">
        <f aca="false">IF(OR($B67="",$F67=""),"",$B67+$F67)</f>
        <v/>
      </c>
      <c r="H67" s="48"/>
      <c r="I67" s="48"/>
      <c r="J67" s="37" t="n">
        <f aca="false">IF($H67="",0,$H67-N($I67))</f>
        <v>0</v>
      </c>
      <c r="K67" s="38" t="str">
        <f aca="false">IF($H67="","",IF($J67&lt;0,"Lebih Bayar",IF($J67=0,"Lunas",IF(N($I67)&gt;0,"Bayar Sebagian","Belum Bayar"))))</f>
        <v/>
      </c>
      <c r="L67" s="39" t="n">
        <f aca="true">IF(OR($H67="",$G67=""),0,IF($J67&lt;=0,0,TODAY()-$G67))</f>
        <v>0</v>
      </c>
      <c r="M67" s="38" t="str">
        <f aca="false">IF($H67="","",IF($J67&lt;0,"Lebih Bayar",IF($J67=0,"Lunas",IF($L67&lt;=0,"Belum Jatuh Tempo",IF($L67&lt;=30,"1-30 hari",IF($L67&lt;=60,"31-60 hari",IF($L67&lt;=90,"61-90 hari","Lebih dari 90 hari")))))))</f>
        <v/>
      </c>
      <c r="N67" s="18" t="str">
        <f aca="false">IF($H67="","",IF($L67&lt;=0,"",$L67*1000000+ROW()))</f>
        <v/>
      </c>
    </row>
    <row r="68" customFormat="false" ht="15" hidden="false" customHeight="true" outlineLevel="0" collapsed="false">
      <c r="A68" s="18" t="str">
        <f aca="false">IF($C68="","",COUNTA($C$8:$C68))</f>
        <v/>
      </c>
      <c r="B68" s="40"/>
      <c r="C68" s="41"/>
      <c r="D68" s="19"/>
      <c r="E68" s="19"/>
      <c r="F68" s="42"/>
      <c r="G68" s="35" t="str">
        <f aca="false">IF(OR($B68="",$F68=""),"",$B68+$F68)</f>
        <v/>
      </c>
      <c r="H68" s="43"/>
      <c r="I68" s="43"/>
      <c r="J68" s="37" t="n">
        <f aca="false">IF($H68="",0,$H68-N($I68))</f>
        <v>0</v>
      </c>
      <c r="K68" s="38" t="str">
        <f aca="false">IF($H68="","",IF($J68&lt;0,"Lebih Bayar",IF($J68=0,"Lunas",IF(N($I68)&gt;0,"Bayar Sebagian","Belum Bayar"))))</f>
        <v/>
      </c>
      <c r="L68" s="39" t="n">
        <f aca="true">IF(OR($H68="",$G68=""),0,IF($J68&lt;=0,0,TODAY()-$G68))</f>
        <v>0</v>
      </c>
      <c r="M68" s="38" t="str">
        <f aca="false">IF($H68="","",IF($J68&lt;0,"Lebih Bayar",IF($J68=0,"Lunas",IF($L68&lt;=0,"Belum Jatuh Tempo",IF($L68&lt;=30,"1-30 hari",IF($L68&lt;=60,"31-60 hari",IF($L68&lt;=90,"61-90 hari","Lebih dari 90 hari")))))))</f>
        <v/>
      </c>
      <c r="N68" s="18" t="str">
        <f aca="false">IF($H68="","",IF($L68&lt;=0,"",$L68*1000000+ROW()))</f>
        <v/>
      </c>
    </row>
    <row r="69" customFormat="false" ht="15" hidden="false" customHeight="true" outlineLevel="0" collapsed="false">
      <c r="A69" s="18" t="str">
        <f aca="false">IF($C69="","",COUNTA($C$8:$C69))</f>
        <v/>
      </c>
      <c r="B69" s="44"/>
      <c r="C69" s="45"/>
      <c r="D69" s="46"/>
      <c r="E69" s="46"/>
      <c r="F69" s="47"/>
      <c r="G69" s="35" t="str">
        <f aca="false">IF(OR($B69="",$F69=""),"",$B69+$F69)</f>
        <v/>
      </c>
      <c r="H69" s="48"/>
      <c r="I69" s="48"/>
      <c r="J69" s="37" t="n">
        <f aca="false">IF($H69="",0,$H69-N($I69))</f>
        <v>0</v>
      </c>
      <c r="K69" s="38" t="str">
        <f aca="false">IF($H69="","",IF($J69&lt;0,"Lebih Bayar",IF($J69=0,"Lunas",IF(N($I69)&gt;0,"Bayar Sebagian","Belum Bayar"))))</f>
        <v/>
      </c>
      <c r="L69" s="39" t="n">
        <f aca="true">IF(OR($H69="",$G69=""),0,IF($J69&lt;=0,0,TODAY()-$G69))</f>
        <v>0</v>
      </c>
      <c r="M69" s="38" t="str">
        <f aca="false">IF($H69="","",IF($J69&lt;0,"Lebih Bayar",IF($J69=0,"Lunas",IF($L69&lt;=0,"Belum Jatuh Tempo",IF($L69&lt;=30,"1-30 hari",IF($L69&lt;=60,"31-60 hari",IF($L69&lt;=90,"61-90 hari","Lebih dari 90 hari")))))))</f>
        <v/>
      </c>
      <c r="N69" s="18" t="str">
        <f aca="false">IF($H69="","",IF($L69&lt;=0,"",$L69*1000000+ROW()))</f>
        <v/>
      </c>
    </row>
    <row r="70" customFormat="false" ht="15" hidden="false" customHeight="true" outlineLevel="0" collapsed="false">
      <c r="A70" s="18" t="str">
        <f aca="false">IF($C70="","",COUNTA($C$8:$C70))</f>
        <v/>
      </c>
      <c r="B70" s="40"/>
      <c r="C70" s="41"/>
      <c r="D70" s="19"/>
      <c r="E70" s="19"/>
      <c r="F70" s="42"/>
      <c r="G70" s="35" t="str">
        <f aca="false">IF(OR($B70="",$F70=""),"",$B70+$F70)</f>
        <v/>
      </c>
      <c r="H70" s="43"/>
      <c r="I70" s="43"/>
      <c r="J70" s="37" t="n">
        <f aca="false">IF($H70="",0,$H70-N($I70))</f>
        <v>0</v>
      </c>
      <c r="K70" s="38" t="str">
        <f aca="false">IF($H70="","",IF($J70&lt;0,"Lebih Bayar",IF($J70=0,"Lunas",IF(N($I70)&gt;0,"Bayar Sebagian","Belum Bayar"))))</f>
        <v/>
      </c>
      <c r="L70" s="39" t="n">
        <f aca="true">IF(OR($H70="",$G70=""),0,IF($J70&lt;=0,0,TODAY()-$G70))</f>
        <v>0</v>
      </c>
      <c r="M70" s="38" t="str">
        <f aca="false">IF($H70="","",IF($J70&lt;0,"Lebih Bayar",IF($J70=0,"Lunas",IF($L70&lt;=0,"Belum Jatuh Tempo",IF($L70&lt;=30,"1-30 hari",IF($L70&lt;=60,"31-60 hari",IF($L70&lt;=90,"61-90 hari","Lebih dari 90 hari")))))))</f>
        <v/>
      </c>
      <c r="N70" s="18" t="str">
        <f aca="false">IF($H70="","",IF($L70&lt;=0,"",$L70*1000000+ROW()))</f>
        <v/>
      </c>
    </row>
    <row r="71" customFormat="false" ht="15" hidden="false" customHeight="true" outlineLevel="0" collapsed="false">
      <c r="A71" s="18" t="str">
        <f aca="false">IF($C71="","",COUNTA($C$8:$C71))</f>
        <v/>
      </c>
      <c r="B71" s="44"/>
      <c r="C71" s="45"/>
      <c r="D71" s="46"/>
      <c r="E71" s="46"/>
      <c r="F71" s="47"/>
      <c r="G71" s="35" t="str">
        <f aca="false">IF(OR($B71="",$F71=""),"",$B71+$F71)</f>
        <v/>
      </c>
      <c r="H71" s="48"/>
      <c r="I71" s="48"/>
      <c r="J71" s="37" t="n">
        <f aca="false">IF($H71="",0,$H71-N($I71))</f>
        <v>0</v>
      </c>
      <c r="K71" s="38" t="str">
        <f aca="false">IF($H71="","",IF($J71&lt;0,"Lebih Bayar",IF($J71=0,"Lunas",IF(N($I71)&gt;0,"Bayar Sebagian","Belum Bayar"))))</f>
        <v/>
      </c>
      <c r="L71" s="39" t="n">
        <f aca="true">IF(OR($H71="",$G71=""),0,IF($J71&lt;=0,0,TODAY()-$G71))</f>
        <v>0</v>
      </c>
      <c r="M71" s="38" t="str">
        <f aca="false">IF($H71="","",IF($J71&lt;0,"Lebih Bayar",IF($J71=0,"Lunas",IF($L71&lt;=0,"Belum Jatuh Tempo",IF($L71&lt;=30,"1-30 hari",IF($L71&lt;=60,"31-60 hari",IF($L71&lt;=90,"61-90 hari","Lebih dari 90 hari")))))))</f>
        <v/>
      </c>
      <c r="N71" s="18" t="str">
        <f aca="false">IF($H71="","",IF($L71&lt;=0,"",$L71*1000000+ROW()))</f>
        <v/>
      </c>
    </row>
    <row r="72" customFormat="false" ht="15" hidden="false" customHeight="true" outlineLevel="0" collapsed="false">
      <c r="A72" s="18" t="str">
        <f aca="false">IF($C72="","",COUNTA($C$8:$C72))</f>
        <v/>
      </c>
      <c r="B72" s="40"/>
      <c r="C72" s="41"/>
      <c r="D72" s="19"/>
      <c r="E72" s="19"/>
      <c r="F72" s="42"/>
      <c r="G72" s="35" t="str">
        <f aca="false">IF(OR($B72="",$F72=""),"",$B72+$F72)</f>
        <v/>
      </c>
      <c r="H72" s="43"/>
      <c r="I72" s="43"/>
      <c r="J72" s="37" t="n">
        <f aca="false">IF($H72="",0,$H72-N($I72))</f>
        <v>0</v>
      </c>
      <c r="K72" s="38" t="str">
        <f aca="false">IF($H72="","",IF($J72&lt;0,"Lebih Bayar",IF($J72=0,"Lunas",IF(N($I72)&gt;0,"Bayar Sebagian","Belum Bayar"))))</f>
        <v/>
      </c>
      <c r="L72" s="39" t="n">
        <f aca="true">IF(OR($H72="",$G72=""),0,IF($J72&lt;=0,0,TODAY()-$G72))</f>
        <v>0</v>
      </c>
      <c r="M72" s="38" t="str">
        <f aca="false">IF($H72="","",IF($J72&lt;0,"Lebih Bayar",IF($J72=0,"Lunas",IF($L72&lt;=0,"Belum Jatuh Tempo",IF($L72&lt;=30,"1-30 hari",IF($L72&lt;=60,"31-60 hari",IF($L72&lt;=90,"61-90 hari","Lebih dari 90 hari")))))))</f>
        <v/>
      </c>
      <c r="N72" s="18" t="str">
        <f aca="false">IF($H72="","",IF($L72&lt;=0,"",$L72*1000000+ROW()))</f>
        <v/>
      </c>
    </row>
    <row r="73" customFormat="false" ht="15" hidden="false" customHeight="true" outlineLevel="0" collapsed="false">
      <c r="A73" s="18" t="str">
        <f aca="false">IF($C73="","",COUNTA($C$8:$C73))</f>
        <v/>
      </c>
      <c r="B73" s="44"/>
      <c r="C73" s="45"/>
      <c r="D73" s="46"/>
      <c r="E73" s="46"/>
      <c r="F73" s="47"/>
      <c r="G73" s="35" t="str">
        <f aca="false">IF(OR($B73="",$F73=""),"",$B73+$F73)</f>
        <v/>
      </c>
      <c r="H73" s="48"/>
      <c r="I73" s="48"/>
      <c r="J73" s="37" t="n">
        <f aca="false">IF($H73="",0,$H73-N($I73))</f>
        <v>0</v>
      </c>
      <c r="K73" s="38" t="str">
        <f aca="false">IF($H73="","",IF($J73&lt;0,"Lebih Bayar",IF($J73=0,"Lunas",IF(N($I73)&gt;0,"Bayar Sebagian","Belum Bayar"))))</f>
        <v/>
      </c>
      <c r="L73" s="39" t="n">
        <f aca="true">IF(OR($H73="",$G73=""),0,IF($J73&lt;=0,0,TODAY()-$G73))</f>
        <v>0</v>
      </c>
      <c r="M73" s="38" t="str">
        <f aca="false">IF($H73="","",IF($J73&lt;0,"Lebih Bayar",IF($J73=0,"Lunas",IF($L73&lt;=0,"Belum Jatuh Tempo",IF($L73&lt;=30,"1-30 hari",IF($L73&lt;=60,"31-60 hari",IF($L73&lt;=90,"61-90 hari","Lebih dari 90 hari")))))))</f>
        <v/>
      </c>
      <c r="N73" s="18" t="str">
        <f aca="false">IF($H73="","",IF($L73&lt;=0,"",$L73*1000000+ROW()))</f>
        <v/>
      </c>
    </row>
    <row r="74" customFormat="false" ht="15" hidden="false" customHeight="true" outlineLevel="0" collapsed="false">
      <c r="A74" s="18" t="str">
        <f aca="false">IF($C74="","",COUNTA($C$8:$C74))</f>
        <v/>
      </c>
      <c r="B74" s="40"/>
      <c r="C74" s="41"/>
      <c r="D74" s="19"/>
      <c r="E74" s="19"/>
      <c r="F74" s="42"/>
      <c r="G74" s="35" t="str">
        <f aca="false">IF(OR($B74="",$F74=""),"",$B74+$F74)</f>
        <v/>
      </c>
      <c r="H74" s="43"/>
      <c r="I74" s="43"/>
      <c r="J74" s="37" t="n">
        <f aca="false">IF($H74="",0,$H74-N($I74))</f>
        <v>0</v>
      </c>
      <c r="K74" s="38" t="str">
        <f aca="false">IF($H74="","",IF($J74&lt;0,"Lebih Bayar",IF($J74=0,"Lunas",IF(N($I74)&gt;0,"Bayar Sebagian","Belum Bayar"))))</f>
        <v/>
      </c>
      <c r="L74" s="39" t="n">
        <f aca="true">IF(OR($H74="",$G74=""),0,IF($J74&lt;=0,0,TODAY()-$G74))</f>
        <v>0</v>
      </c>
      <c r="M74" s="38" t="str">
        <f aca="false">IF($H74="","",IF($J74&lt;0,"Lebih Bayar",IF($J74=0,"Lunas",IF($L74&lt;=0,"Belum Jatuh Tempo",IF($L74&lt;=30,"1-30 hari",IF($L74&lt;=60,"31-60 hari",IF($L74&lt;=90,"61-90 hari","Lebih dari 90 hari")))))))</f>
        <v/>
      </c>
      <c r="N74" s="18" t="str">
        <f aca="false">IF($H74="","",IF($L74&lt;=0,"",$L74*1000000+ROW()))</f>
        <v/>
      </c>
    </row>
    <row r="75" customFormat="false" ht="15" hidden="false" customHeight="true" outlineLevel="0" collapsed="false">
      <c r="A75" s="18" t="str">
        <f aca="false">IF($C75="","",COUNTA($C$8:$C75))</f>
        <v/>
      </c>
      <c r="B75" s="44"/>
      <c r="C75" s="45"/>
      <c r="D75" s="46"/>
      <c r="E75" s="46"/>
      <c r="F75" s="47"/>
      <c r="G75" s="35" t="str">
        <f aca="false">IF(OR($B75="",$F75=""),"",$B75+$F75)</f>
        <v/>
      </c>
      <c r="H75" s="48"/>
      <c r="I75" s="48"/>
      <c r="J75" s="37" t="n">
        <f aca="false">IF($H75="",0,$H75-N($I75))</f>
        <v>0</v>
      </c>
      <c r="K75" s="38" t="str">
        <f aca="false">IF($H75="","",IF($J75&lt;0,"Lebih Bayar",IF($J75=0,"Lunas",IF(N($I75)&gt;0,"Bayar Sebagian","Belum Bayar"))))</f>
        <v/>
      </c>
      <c r="L75" s="39" t="n">
        <f aca="true">IF(OR($H75="",$G75=""),0,IF($J75&lt;=0,0,TODAY()-$G75))</f>
        <v>0</v>
      </c>
      <c r="M75" s="38" t="str">
        <f aca="false">IF($H75="","",IF($J75&lt;0,"Lebih Bayar",IF($J75=0,"Lunas",IF($L75&lt;=0,"Belum Jatuh Tempo",IF($L75&lt;=30,"1-30 hari",IF($L75&lt;=60,"31-60 hari",IF($L75&lt;=90,"61-90 hari","Lebih dari 90 hari")))))))</f>
        <v/>
      </c>
      <c r="N75" s="18" t="str">
        <f aca="false">IF($H75="","",IF($L75&lt;=0,"",$L75*1000000+ROW()))</f>
        <v/>
      </c>
    </row>
    <row r="76" customFormat="false" ht="15" hidden="false" customHeight="true" outlineLevel="0" collapsed="false">
      <c r="A76" s="18" t="str">
        <f aca="false">IF($C76="","",COUNTA($C$8:$C76))</f>
        <v/>
      </c>
      <c r="B76" s="40"/>
      <c r="C76" s="41"/>
      <c r="D76" s="19"/>
      <c r="E76" s="19"/>
      <c r="F76" s="42"/>
      <c r="G76" s="35" t="str">
        <f aca="false">IF(OR($B76="",$F76=""),"",$B76+$F76)</f>
        <v/>
      </c>
      <c r="H76" s="43"/>
      <c r="I76" s="43"/>
      <c r="J76" s="37" t="n">
        <f aca="false">IF($H76="",0,$H76-N($I76))</f>
        <v>0</v>
      </c>
      <c r="K76" s="38" t="str">
        <f aca="false">IF($H76="","",IF($J76&lt;0,"Lebih Bayar",IF($J76=0,"Lunas",IF(N($I76)&gt;0,"Bayar Sebagian","Belum Bayar"))))</f>
        <v/>
      </c>
      <c r="L76" s="39" t="n">
        <f aca="true">IF(OR($H76="",$G76=""),0,IF($J76&lt;=0,0,TODAY()-$G76))</f>
        <v>0</v>
      </c>
      <c r="M76" s="38" t="str">
        <f aca="false">IF($H76="","",IF($J76&lt;0,"Lebih Bayar",IF($J76=0,"Lunas",IF($L76&lt;=0,"Belum Jatuh Tempo",IF($L76&lt;=30,"1-30 hari",IF($L76&lt;=60,"31-60 hari",IF($L76&lt;=90,"61-90 hari","Lebih dari 90 hari")))))))</f>
        <v/>
      </c>
      <c r="N76" s="18" t="str">
        <f aca="false">IF($H76="","",IF($L76&lt;=0,"",$L76*1000000+ROW()))</f>
        <v/>
      </c>
    </row>
    <row r="77" customFormat="false" ht="15" hidden="false" customHeight="true" outlineLevel="0" collapsed="false">
      <c r="A77" s="18" t="str">
        <f aca="false">IF($C77="","",COUNTA($C$8:$C77))</f>
        <v/>
      </c>
      <c r="B77" s="44"/>
      <c r="C77" s="45"/>
      <c r="D77" s="46"/>
      <c r="E77" s="46"/>
      <c r="F77" s="47"/>
      <c r="G77" s="35" t="str">
        <f aca="false">IF(OR($B77="",$F77=""),"",$B77+$F77)</f>
        <v/>
      </c>
      <c r="H77" s="48"/>
      <c r="I77" s="48"/>
      <c r="J77" s="37" t="n">
        <f aca="false">IF($H77="",0,$H77-N($I77))</f>
        <v>0</v>
      </c>
      <c r="K77" s="38" t="str">
        <f aca="false">IF($H77="","",IF($J77&lt;0,"Lebih Bayar",IF($J77=0,"Lunas",IF(N($I77)&gt;0,"Bayar Sebagian","Belum Bayar"))))</f>
        <v/>
      </c>
      <c r="L77" s="39" t="n">
        <f aca="true">IF(OR($H77="",$G77=""),0,IF($J77&lt;=0,0,TODAY()-$G77))</f>
        <v>0</v>
      </c>
      <c r="M77" s="38" t="str">
        <f aca="false">IF($H77="","",IF($J77&lt;0,"Lebih Bayar",IF($J77=0,"Lunas",IF($L77&lt;=0,"Belum Jatuh Tempo",IF($L77&lt;=30,"1-30 hari",IF($L77&lt;=60,"31-60 hari",IF($L77&lt;=90,"61-90 hari","Lebih dari 90 hari")))))))</f>
        <v/>
      </c>
      <c r="N77" s="18" t="str">
        <f aca="false">IF($H77="","",IF($L77&lt;=0,"",$L77*1000000+ROW()))</f>
        <v/>
      </c>
    </row>
    <row r="78" customFormat="false" ht="15" hidden="false" customHeight="true" outlineLevel="0" collapsed="false">
      <c r="A78" s="18" t="str">
        <f aca="false">IF($C78="","",COUNTA($C$8:$C78))</f>
        <v/>
      </c>
      <c r="B78" s="40"/>
      <c r="C78" s="41"/>
      <c r="D78" s="19"/>
      <c r="E78" s="19"/>
      <c r="F78" s="42"/>
      <c r="G78" s="35" t="str">
        <f aca="false">IF(OR($B78="",$F78=""),"",$B78+$F78)</f>
        <v/>
      </c>
      <c r="H78" s="43"/>
      <c r="I78" s="43"/>
      <c r="J78" s="37" t="n">
        <f aca="false">IF($H78="",0,$H78-N($I78))</f>
        <v>0</v>
      </c>
      <c r="K78" s="38" t="str">
        <f aca="false">IF($H78="","",IF($J78&lt;0,"Lebih Bayar",IF($J78=0,"Lunas",IF(N($I78)&gt;0,"Bayar Sebagian","Belum Bayar"))))</f>
        <v/>
      </c>
      <c r="L78" s="39" t="n">
        <f aca="true">IF(OR($H78="",$G78=""),0,IF($J78&lt;=0,0,TODAY()-$G78))</f>
        <v>0</v>
      </c>
      <c r="M78" s="38" t="str">
        <f aca="false">IF($H78="","",IF($J78&lt;0,"Lebih Bayar",IF($J78=0,"Lunas",IF($L78&lt;=0,"Belum Jatuh Tempo",IF($L78&lt;=30,"1-30 hari",IF($L78&lt;=60,"31-60 hari",IF($L78&lt;=90,"61-90 hari","Lebih dari 90 hari")))))))</f>
        <v/>
      </c>
      <c r="N78" s="18" t="str">
        <f aca="false">IF($H78="","",IF($L78&lt;=0,"",$L78*1000000+ROW()))</f>
        <v/>
      </c>
    </row>
    <row r="79" customFormat="false" ht="15" hidden="false" customHeight="true" outlineLevel="0" collapsed="false">
      <c r="A79" s="18" t="str">
        <f aca="false">IF($C79="","",COUNTA($C$8:$C79))</f>
        <v/>
      </c>
      <c r="B79" s="44"/>
      <c r="C79" s="45"/>
      <c r="D79" s="46"/>
      <c r="E79" s="46"/>
      <c r="F79" s="47"/>
      <c r="G79" s="35" t="str">
        <f aca="false">IF(OR($B79="",$F79=""),"",$B79+$F79)</f>
        <v/>
      </c>
      <c r="H79" s="48"/>
      <c r="I79" s="48"/>
      <c r="J79" s="37" t="n">
        <f aca="false">IF($H79="",0,$H79-N($I79))</f>
        <v>0</v>
      </c>
      <c r="K79" s="38" t="str">
        <f aca="false">IF($H79="","",IF($J79&lt;0,"Lebih Bayar",IF($J79=0,"Lunas",IF(N($I79)&gt;0,"Bayar Sebagian","Belum Bayar"))))</f>
        <v/>
      </c>
      <c r="L79" s="39" t="n">
        <f aca="true">IF(OR($H79="",$G79=""),0,IF($J79&lt;=0,0,TODAY()-$G79))</f>
        <v>0</v>
      </c>
      <c r="M79" s="38" t="str">
        <f aca="false">IF($H79="","",IF($J79&lt;0,"Lebih Bayar",IF($J79=0,"Lunas",IF($L79&lt;=0,"Belum Jatuh Tempo",IF($L79&lt;=30,"1-30 hari",IF($L79&lt;=60,"31-60 hari",IF($L79&lt;=90,"61-90 hari","Lebih dari 90 hari")))))))</f>
        <v/>
      </c>
      <c r="N79" s="18" t="str">
        <f aca="false">IF($H79="","",IF($L79&lt;=0,"",$L79*1000000+ROW()))</f>
        <v/>
      </c>
    </row>
    <row r="80" customFormat="false" ht="15" hidden="false" customHeight="true" outlineLevel="0" collapsed="false">
      <c r="A80" s="18" t="str">
        <f aca="false">IF($C80="","",COUNTA($C$8:$C80))</f>
        <v/>
      </c>
      <c r="B80" s="40"/>
      <c r="C80" s="41"/>
      <c r="D80" s="19"/>
      <c r="E80" s="19"/>
      <c r="F80" s="42"/>
      <c r="G80" s="35" t="str">
        <f aca="false">IF(OR($B80="",$F80=""),"",$B80+$F80)</f>
        <v/>
      </c>
      <c r="H80" s="43"/>
      <c r="I80" s="43"/>
      <c r="J80" s="37" t="n">
        <f aca="false">IF($H80="",0,$H80-N($I80))</f>
        <v>0</v>
      </c>
      <c r="K80" s="38" t="str">
        <f aca="false">IF($H80="","",IF($J80&lt;0,"Lebih Bayar",IF($J80=0,"Lunas",IF(N($I80)&gt;0,"Bayar Sebagian","Belum Bayar"))))</f>
        <v/>
      </c>
      <c r="L80" s="39" t="n">
        <f aca="true">IF(OR($H80="",$G80=""),0,IF($J80&lt;=0,0,TODAY()-$G80))</f>
        <v>0</v>
      </c>
      <c r="M80" s="38" t="str">
        <f aca="false">IF($H80="","",IF($J80&lt;0,"Lebih Bayar",IF($J80=0,"Lunas",IF($L80&lt;=0,"Belum Jatuh Tempo",IF($L80&lt;=30,"1-30 hari",IF($L80&lt;=60,"31-60 hari",IF($L80&lt;=90,"61-90 hari","Lebih dari 90 hari")))))))</f>
        <v/>
      </c>
      <c r="N80" s="18" t="str">
        <f aca="false">IF($H80="","",IF($L80&lt;=0,"",$L80*1000000+ROW()))</f>
        <v/>
      </c>
    </row>
    <row r="81" customFormat="false" ht="15" hidden="false" customHeight="true" outlineLevel="0" collapsed="false">
      <c r="A81" s="18" t="str">
        <f aca="false">IF($C81="","",COUNTA($C$8:$C81))</f>
        <v/>
      </c>
      <c r="B81" s="44"/>
      <c r="C81" s="45"/>
      <c r="D81" s="46"/>
      <c r="E81" s="46"/>
      <c r="F81" s="47"/>
      <c r="G81" s="35" t="str">
        <f aca="false">IF(OR($B81="",$F81=""),"",$B81+$F81)</f>
        <v/>
      </c>
      <c r="H81" s="48"/>
      <c r="I81" s="48"/>
      <c r="J81" s="37" t="n">
        <f aca="false">IF($H81="",0,$H81-N($I81))</f>
        <v>0</v>
      </c>
      <c r="K81" s="38" t="str">
        <f aca="false">IF($H81="","",IF($J81&lt;0,"Lebih Bayar",IF($J81=0,"Lunas",IF(N($I81)&gt;0,"Bayar Sebagian","Belum Bayar"))))</f>
        <v/>
      </c>
      <c r="L81" s="39" t="n">
        <f aca="true">IF(OR($H81="",$G81=""),0,IF($J81&lt;=0,0,TODAY()-$G81))</f>
        <v>0</v>
      </c>
      <c r="M81" s="38" t="str">
        <f aca="false">IF($H81="","",IF($J81&lt;0,"Lebih Bayar",IF($J81=0,"Lunas",IF($L81&lt;=0,"Belum Jatuh Tempo",IF($L81&lt;=30,"1-30 hari",IF($L81&lt;=60,"31-60 hari",IF($L81&lt;=90,"61-90 hari","Lebih dari 90 hari")))))))</f>
        <v/>
      </c>
      <c r="N81" s="18" t="str">
        <f aca="false">IF($H81="","",IF($L81&lt;=0,"",$L81*1000000+ROW()))</f>
        <v/>
      </c>
    </row>
    <row r="82" customFormat="false" ht="15" hidden="false" customHeight="true" outlineLevel="0" collapsed="false">
      <c r="A82" s="18" t="str">
        <f aca="false">IF($C82="","",COUNTA($C$8:$C82))</f>
        <v/>
      </c>
      <c r="B82" s="40"/>
      <c r="C82" s="41"/>
      <c r="D82" s="19"/>
      <c r="E82" s="19"/>
      <c r="F82" s="42"/>
      <c r="G82" s="35" t="str">
        <f aca="false">IF(OR($B82="",$F82=""),"",$B82+$F82)</f>
        <v/>
      </c>
      <c r="H82" s="43"/>
      <c r="I82" s="43"/>
      <c r="J82" s="37" t="n">
        <f aca="false">IF($H82="",0,$H82-N($I82))</f>
        <v>0</v>
      </c>
      <c r="K82" s="38" t="str">
        <f aca="false">IF($H82="","",IF($J82&lt;0,"Lebih Bayar",IF($J82=0,"Lunas",IF(N($I82)&gt;0,"Bayar Sebagian","Belum Bayar"))))</f>
        <v/>
      </c>
      <c r="L82" s="39" t="n">
        <f aca="true">IF(OR($H82="",$G82=""),0,IF($J82&lt;=0,0,TODAY()-$G82))</f>
        <v>0</v>
      </c>
      <c r="M82" s="38" t="str">
        <f aca="false">IF($H82="","",IF($J82&lt;0,"Lebih Bayar",IF($J82=0,"Lunas",IF($L82&lt;=0,"Belum Jatuh Tempo",IF($L82&lt;=30,"1-30 hari",IF($L82&lt;=60,"31-60 hari",IF($L82&lt;=90,"61-90 hari","Lebih dari 90 hari")))))))</f>
        <v/>
      </c>
      <c r="N82" s="18" t="str">
        <f aca="false">IF($H82="","",IF($L82&lt;=0,"",$L82*1000000+ROW()))</f>
        <v/>
      </c>
    </row>
    <row r="83" customFormat="false" ht="15" hidden="false" customHeight="true" outlineLevel="0" collapsed="false">
      <c r="A83" s="18" t="str">
        <f aca="false">IF($C83="","",COUNTA($C$8:$C83))</f>
        <v/>
      </c>
      <c r="B83" s="44"/>
      <c r="C83" s="45"/>
      <c r="D83" s="46"/>
      <c r="E83" s="46"/>
      <c r="F83" s="47"/>
      <c r="G83" s="35" t="str">
        <f aca="false">IF(OR($B83="",$F83=""),"",$B83+$F83)</f>
        <v/>
      </c>
      <c r="H83" s="48"/>
      <c r="I83" s="48"/>
      <c r="J83" s="37" t="n">
        <f aca="false">IF($H83="",0,$H83-N($I83))</f>
        <v>0</v>
      </c>
      <c r="K83" s="38" t="str">
        <f aca="false">IF($H83="","",IF($J83&lt;0,"Lebih Bayar",IF($J83=0,"Lunas",IF(N($I83)&gt;0,"Bayar Sebagian","Belum Bayar"))))</f>
        <v/>
      </c>
      <c r="L83" s="39" t="n">
        <f aca="true">IF(OR($H83="",$G83=""),0,IF($J83&lt;=0,0,TODAY()-$G83))</f>
        <v>0</v>
      </c>
      <c r="M83" s="38" t="str">
        <f aca="false">IF($H83="","",IF($J83&lt;0,"Lebih Bayar",IF($J83=0,"Lunas",IF($L83&lt;=0,"Belum Jatuh Tempo",IF($L83&lt;=30,"1-30 hari",IF($L83&lt;=60,"31-60 hari",IF($L83&lt;=90,"61-90 hari","Lebih dari 90 hari")))))))</f>
        <v/>
      </c>
      <c r="N83" s="18" t="str">
        <f aca="false">IF($H83="","",IF($L83&lt;=0,"",$L83*1000000+ROW()))</f>
        <v/>
      </c>
    </row>
    <row r="84" customFormat="false" ht="15" hidden="false" customHeight="true" outlineLevel="0" collapsed="false">
      <c r="A84" s="18" t="str">
        <f aca="false">IF($C84="","",COUNTA($C$8:$C84))</f>
        <v/>
      </c>
      <c r="B84" s="40"/>
      <c r="C84" s="41"/>
      <c r="D84" s="19"/>
      <c r="E84" s="19"/>
      <c r="F84" s="42"/>
      <c r="G84" s="35" t="str">
        <f aca="false">IF(OR($B84="",$F84=""),"",$B84+$F84)</f>
        <v/>
      </c>
      <c r="H84" s="43"/>
      <c r="I84" s="43"/>
      <c r="J84" s="37" t="n">
        <f aca="false">IF($H84="",0,$H84-N($I84))</f>
        <v>0</v>
      </c>
      <c r="K84" s="38" t="str">
        <f aca="false">IF($H84="","",IF($J84&lt;0,"Lebih Bayar",IF($J84=0,"Lunas",IF(N($I84)&gt;0,"Bayar Sebagian","Belum Bayar"))))</f>
        <v/>
      </c>
      <c r="L84" s="39" t="n">
        <f aca="true">IF(OR($H84="",$G84=""),0,IF($J84&lt;=0,0,TODAY()-$G84))</f>
        <v>0</v>
      </c>
      <c r="M84" s="38" t="str">
        <f aca="false">IF($H84="","",IF($J84&lt;0,"Lebih Bayar",IF($J84=0,"Lunas",IF($L84&lt;=0,"Belum Jatuh Tempo",IF($L84&lt;=30,"1-30 hari",IF($L84&lt;=60,"31-60 hari",IF($L84&lt;=90,"61-90 hari","Lebih dari 90 hari")))))))</f>
        <v/>
      </c>
      <c r="N84" s="18" t="str">
        <f aca="false">IF($H84="","",IF($L84&lt;=0,"",$L84*1000000+ROW()))</f>
        <v/>
      </c>
    </row>
    <row r="85" customFormat="false" ht="15" hidden="false" customHeight="true" outlineLevel="0" collapsed="false">
      <c r="A85" s="18" t="str">
        <f aca="false">IF($C85="","",COUNTA($C$8:$C85))</f>
        <v/>
      </c>
      <c r="B85" s="44"/>
      <c r="C85" s="45"/>
      <c r="D85" s="46"/>
      <c r="E85" s="46"/>
      <c r="F85" s="47"/>
      <c r="G85" s="35" t="str">
        <f aca="false">IF(OR($B85="",$F85=""),"",$B85+$F85)</f>
        <v/>
      </c>
      <c r="H85" s="48"/>
      <c r="I85" s="48"/>
      <c r="J85" s="37" t="n">
        <f aca="false">IF($H85="",0,$H85-N($I85))</f>
        <v>0</v>
      </c>
      <c r="K85" s="38" t="str">
        <f aca="false">IF($H85="","",IF($J85&lt;0,"Lebih Bayar",IF($J85=0,"Lunas",IF(N($I85)&gt;0,"Bayar Sebagian","Belum Bayar"))))</f>
        <v/>
      </c>
      <c r="L85" s="39" t="n">
        <f aca="true">IF(OR($H85="",$G85=""),0,IF($J85&lt;=0,0,TODAY()-$G85))</f>
        <v>0</v>
      </c>
      <c r="M85" s="38" t="str">
        <f aca="false">IF($H85="","",IF($J85&lt;0,"Lebih Bayar",IF($J85=0,"Lunas",IF($L85&lt;=0,"Belum Jatuh Tempo",IF($L85&lt;=30,"1-30 hari",IF($L85&lt;=60,"31-60 hari",IF($L85&lt;=90,"61-90 hari","Lebih dari 90 hari")))))))</f>
        <v/>
      </c>
      <c r="N85" s="18" t="str">
        <f aca="false">IF($H85="","",IF($L85&lt;=0,"",$L85*1000000+ROW()))</f>
        <v/>
      </c>
    </row>
    <row r="86" customFormat="false" ht="15" hidden="false" customHeight="true" outlineLevel="0" collapsed="false">
      <c r="A86" s="18" t="str">
        <f aca="false">IF($C86="","",COUNTA($C$8:$C86))</f>
        <v/>
      </c>
      <c r="B86" s="40"/>
      <c r="C86" s="41"/>
      <c r="D86" s="19"/>
      <c r="E86" s="19"/>
      <c r="F86" s="42"/>
      <c r="G86" s="35" t="str">
        <f aca="false">IF(OR($B86="",$F86=""),"",$B86+$F86)</f>
        <v/>
      </c>
      <c r="H86" s="43"/>
      <c r="I86" s="43"/>
      <c r="J86" s="37" t="n">
        <f aca="false">IF($H86="",0,$H86-N($I86))</f>
        <v>0</v>
      </c>
      <c r="K86" s="38" t="str">
        <f aca="false">IF($H86="","",IF($J86&lt;0,"Lebih Bayar",IF($J86=0,"Lunas",IF(N($I86)&gt;0,"Bayar Sebagian","Belum Bayar"))))</f>
        <v/>
      </c>
      <c r="L86" s="39" t="n">
        <f aca="true">IF(OR($H86="",$G86=""),0,IF($J86&lt;=0,0,TODAY()-$G86))</f>
        <v>0</v>
      </c>
      <c r="M86" s="38" t="str">
        <f aca="false">IF($H86="","",IF($J86&lt;0,"Lebih Bayar",IF($J86=0,"Lunas",IF($L86&lt;=0,"Belum Jatuh Tempo",IF($L86&lt;=30,"1-30 hari",IF($L86&lt;=60,"31-60 hari",IF($L86&lt;=90,"61-90 hari","Lebih dari 90 hari")))))))</f>
        <v/>
      </c>
      <c r="N86" s="18" t="str">
        <f aca="false">IF($H86="","",IF($L86&lt;=0,"",$L86*1000000+ROW()))</f>
        <v/>
      </c>
    </row>
    <row r="87" customFormat="false" ht="15" hidden="false" customHeight="true" outlineLevel="0" collapsed="false">
      <c r="A87" s="18" t="str">
        <f aca="false">IF($C87="","",COUNTA($C$8:$C87))</f>
        <v/>
      </c>
      <c r="B87" s="44"/>
      <c r="C87" s="45"/>
      <c r="D87" s="46"/>
      <c r="E87" s="46"/>
      <c r="F87" s="47"/>
      <c r="G87" s="35" t="str">
        <f aca="false">IF(OR($B87="",$F87=""),"",$B87+$F87)</f>
        <v/>
      </c>
      <c r="H87" s="48"/>
      <c r="I87" s="48"/>
      <c r="J87" s="37" t="n">
        <f aca="false">IF($H87="",0,$H87-N($I87))</f>
        <v>0</v>
      </c>
      <c r="K87" s="38" t="str">
        <f aca="false">IF($H87="","",IF($J87&lt;0,"Lebih Bayar",IF($J87=0,"Lunas",IF(N($I87)&gt;0,"Bayar Sebagian","Belum Bayar"))))</f>
        <v/>
      </c>
      <c r="L87" s="39" t="n">
        <f aca="true">IF(OR($H87="",$G87=""),0,IF($J87&lt;=0,0,TODAY()-$G87))</f>
        <v>0</v>
      </c>
      <c r="M87" s="38" t="str">
        <f aca="false">IF($H87="","",IF($J87&lt;0,"Lebih Bayar",IF($J87=0,"Lunas",IF($L87&lt;=0,"Belum Jatuh Tempo",IF($L87&lt;=30,"1-30 hari",IF($L87&lt;=60,"31-60 hari",IF($L87&lt;=90,"61-90 hari","Lebih dari 90 hari")))))))</f>
        <v/>
      </c>
      <c r="N87" s="18" t="str">
        <f aca="false">IF($H87="","",IF($L87&lt;=0,"",$L87*1000000+ROW()))</f>
        <v/>
      </c>
    </row>
    <row r="88" customFormat="false" ht="15" hidden="false" customHeight="true" outlineLevel="0" collapsed="false">
      <c r="A88" s="18" t="str">
        <f aca="false">IF($C88="","",COUNTA($C$8:$C88))</f>
        <v/>
      </c>
      <c r="B88" s="40"/>
      <c r="C88" s="41"/>
      <c r="D88" s="19"/>
      <c r="E88" s="19"/>
      <c r="F88" s="42"/>
      <c r="G88" s="35" t="str">
        <f aca="false">IF(OR($B88="",$F88=""),"",$B88+$F88)</f>
        <v/>
      </c>
      <c r="H88" s="43"/>
      <c r="I88" s="43"/>
      <c r="J88" s="37" t="n">
        <f aca="false">IF($H88="",0,$H88-N($I88))</f>
        <v>0</v>
      </c>
      <c r="K88" s="38" t="str">
        <f aca="false">IF($H88="","",IF($J88&lt;0,"Lebih Bayar",IF($J88=0,"Lunas",IF(N($I88)&gt;0,"Bayar Sebagian","Belum Bayar"))))</f>
        <v/>
      </c>
      <c r="L88" s="39" t="n">
        <f aca="true">IF(OR($H88="",$G88=""),0,IF($J88&lt;=0,0,TODAY()-$G88))</f>
        <v>0</v>
      </c>
      <c r="M88" s="38" t="str">
        <f aca="false">IF($H88="","",IF($J88&lt;0,"Lebih Bayar",IF($J88=0,"Lunas",IF($L88&lt;=0,"Belum Jatuh Tempo",IF($L88&lt;=30,"1-30 hari",IF($L88&lt;=60,"31-60 hari",IF($L88&lt;=90,"61-90 hari","Lebih dari 90 hari")))))))</f>
        <v/>
      </c>
      <c r="N88" s="18" t="str">
        <f aca="false">IF($H88="","",IF($L88&lt;=0,"",$L88*1000000+ROW()))</f>
        <v/>
      </c>
    </row>
    <row r="89" customFormat="false" ht="15" hidden="false" customHeight="true" outlineLevel="0" collapsed="false">
      <c r="A89" s="18" t="str">
        <f aca="false">IF($C89="","",COUNTA($C$8:$C89))</f>
        <v/>
      </c>
      <c r="B89" s="44"/>
      <c r="C89" s="45"/>
      <c r="D89" s="46"/>
      <c r="E89" s="46"/>
      <c r="F89" s="47"/>
      <c r="G89" s="35" t="str">
        <f aca="false">IF(OR($B89="",$F89=""),"",$B89+$F89)</f>
        <v/>
      </c>
      <c r="H89" s="48"/>
      <c r="I89" s="48"/>
      <c r="J89" s="37" t="n">
        <f aca="false">IF($H89="",0,$H89-N($I89))</f>
        <v>0</v>
      </c>
      <c r="K89" s="38" t="str">
        <f aca="false">IF($H89="","",IF($J89&lt;0,"Lebih Bayar",IF($J89=0,"Lunas",IF(N($I89)&gt;0,"Bayar Sebagian","Belum Bayar"))))</f>
        <v/>
      </c>
      <c r="L89" s="39" t="n">
        <f aca="true">IF(OR($H89="",$G89=""),0,IF($J89&lt;=0,0,TODAY()-$G89))</f>
        <v>0</v>
      </c>
      <c r="M89" s="38" t="str">
        <f aca="false">IF($H89="","",IF($J89&lt;0,"Lebih Bayar",IF($J89=0,"Lunas",IF($L89&lt;=0,"Belum Jatuh Tempo",IF($L89&lt;=30,"1-30 hari",IF($L89&lt;=60,"31-60 hari",IF($L89&lt;=90,"61-90 hari","Lebih dari 90 hari")))))))</f>
        <v/>
      </c>
      <c r="N89" s="18" t="str">
        <f aca="false">IF($H89="","",IF($L89&lt;=0,"",$L89*1000000+ROW()))</f>
        <v/>
      </c>
    </row>
    <row r="90" customFormat="false" ht="15" hidden="false" customHeight="true" outlineLevel="0" collapsed="false">
      <c r="A90" s="18" t="str">
        <f aca="false">IF($C90="","",COUNTA($C$8:$C90))</f>
        <v/>
      </c>
      <c r="B90" s="40"/>
      <c r="C90" s="41"/>
      <c r="D90" s="19"/>
      <c r="E90" s="19"/>
      <c r="F90" s="42"/>
      <c r="G90" s="35" t="str">
        <f aca="false">IF(OR($B90="",$F90=""),"",$B90+$F90)</f>
        <v/>
      </c>
      <c r="H90" s="43"/>
      <c r="I90" s="43"/>
      <c r="J90" s="37" t="n">
        <f aca="false">IF($H90="",0,$H90-N($I90))</f>
        <v>0</v>
      </c>
      <c r="K90" s="38" t="str">
        <f aca="false">IF($H90="","",IF($J90&lt;0,"Lebih Bayar",IF($J90=0,"Lunas",IF(N($I90)&gt;0,"Bayar Sebagian","Belum Bayar"))))</f>
        <v/>
      </c>
      <c r="L90" s="39" t="n">
        <f aca="true">IF(OR($H90="",$G90=""),0,IF($J90&lt;=0,0,TODAY()-$G90))</f>
        <v>0</v>
      </c>
      <c r="M90" s="38" t="str">
        <f aca="false">IF($H90="","",IF($J90&lt;0,"Lebih Bayar",IF($J90=0,"Lunas",IF($L90&lt;=0,"Belum Jatuh Tempo",IF($L90&lt;=30,"1-30 hari",IF($L90&lt;=60,"31-60 hari",IF($L90&lt;=90,"61-90 hari","Lebih dari 90 hari")))))))</f>
        <v/>
      </c>
      <c r="N90" s="18" t="str">
        <f aca="false">IF($H90="","",IF($L90&lt;=0,"",$L90*1000000+ROW()))</f>
        <v/>
      </c>
    </row>
    <row r="91" customFormat="false" ht="15" hidden="false" customHeight="true" outlineLevel="0" collapsed="false">
      <c r="A91" s="18" t="str">
        <f aca="false">IF($C91="","",COUNTA($C$8:$C91))</f>
        <v/>
      </c>
      <c r="B91" s="44"/>
      <c r="C91" s="45"/>
      <c r="D91" s="46"/>
      <c r="E91" s="46"/>
      <c r="F91" s="47"/>
      <c r="G91" s="35" t="str">
        <f aca="false">IF(OR($B91="",$F91=""),"",$B91+$F91)</f>
        <v/>
      </c>
      <c r="H91" s="48"/>
      <c r="I91" s="48"/>
      <c r="J91" s="37" t="n">
        <f aca="false">IF($H91="",0,$H91-N($I91))</f>
        <v>0</v>
      </c>
      <c r="K91" s="38" t="str">
        <f aca="false">IF($H91="","",IF($J91&lt;0,"Lebih Bayar",IF($J91=0,"Lunas",IF(N($I91)&gt;0,"Bayar Sebagian","Belum Bayar"))))</f>
        <v/>
      </c>
      <c r="L91" s="39" t="n">
        <f aca="true">IF(OR($H91="",$G91=""),0,IF($J91&lt;=0,0,TODAY()-$G91))</f>
        <v>0</v>
      </c>
      <c r="M91" s="38" t="str">
        <f aca="false">IF($H91="","",IF($J91&lt;0,"Lebih Bayar",IF($J91=0,"Lunas",IF($L91&lt;=0,"Belum Jatuh Tempo",IF($L91&lt;=30,"1-30 hari",IF($L91&lt;=60,"31-60 hari",IF($L91&lt;=90,"61-90 hari","Lebih dari 90 hari")))))))</f>
        <v/>
      </c>
      <c r="N91" s="18" t="str">
        <f aca="false">IF($H91="","",IF($L91&lt;=0,"",$L91*1000000+ROW()))</f>
        <v/>
      </c>
    </row>
    <row r="92" customFormat="false" ht="15" hidden="false" customHeight="true" outlineLevel="0" collapsed="false">
      <c r="A92" s="18" t="str">
        <f aca="false">IF($C92="","",COUNTA($C$8:$C92))</f>
        <v/>
      </c>
      <c r="B92" s="40"/>
      <c r="C92" s="41"/>
      <c r="D92" s="19"/>
      <c r="E92" s="19"/>
      <c r="F92" s="42"/>
      <c r="G92" s="35" t="str">
        <f aca="false">IF(OR($B92="",$F92=""),"",$B92+$F92)</f>
        <v/>
      </c>
      <c r="H92" s="43"/>
      <c r="I92" s="43"/>
      <c r="J92" s="37" t="n">
        <f aca="false">IF($H92="",0,$H92-N($I92))</f>
        <v>0</v>
      </c>
      <c r="K92" s="38" t="str">
        <f aca="false">IF($H92="","",IF($J92&lt;0,"Lebih Bayar",IF($J92=0,"Lunas",IF(N($I92)&gt;0,"Bayar Sebagian","Belum Bayar"))))</f>
        <v/>
      </c>
      <c r="L92" s="39" t="n">
        <f aca="true">IF(OR($H92="",$G92=""),0,IF($J92&lt;=0,0,TODAY()-$G92))</f>
        <v>0</v>
      </c>
      <c r="M92" s="38" t="str">
        <f aca="false">IF($H92="","",IF($J92&lt;0,"Lebih Bayar",IF($J92=0,"Lunas",IF($L92&lt;=0,"Belum Jatuh Tempo",IF($L92&lt;=30,"1-30 hari",IF($L92&lt;=60,"31-60 hari",IF($L92&lt;=90,"61-90 hari","Lebih dari 90 hari")))))))</f>
        <v/>
      </c>
      <c r="N92" s="18" t="str">
        <f aca="false">IF($H92="","",IF($L92&lt;=0,"",$L92*1000000+ROW()))</f>
        <v/>
      </c>
    </row>
    <row r="93" customFormat="false" ht="15" hidden="false" customHeight="true" outlineLevel="0" collapsed="false">
      <c r="A93" s="18" t="str">
        <f aca="false">IF($C93="","",COUNTA($C$8:$C93))</f>
        <v/>
      </c>
      <c r="B93" s="44"/>
      <c r="C93" s="45"/>
      <c r="D93" s="46"/>
      <c r="E93" s="46"/>
      <c r="F93" s="47"/>
      <c r="G93" s="35" t="str">
        <f aca="false">IF(OR($B93="",$F93=""),"",$B93+$F93)</f>
        <v/>
      </c>
      <c r="H93" s="48"/>
      <c r="I93" s="48"/>
      <c r="J93" s="37" t="n">
        <f aca="false">IF($H93="",0,$H93-N($I93))</f>
        <v>0</v>
      </c>
      <c r="K93" s="38" t="str">
        <f aca="false">IF($H93="","",IF($J93&lt;0,"Lebih Bayar",IF($J93=0,"Lunas",IF(N($I93)&gt;0,"Bayar Sebagian","Belum Bayar"))))</f>
        <v/>
      </c>
      <c r="L93" s="39" t="n">
        <f aca="true">IF(OR($H93="",$G93=""),0,IF($J93&lt;=0,0,TODAY()-$G93))</f>
        <v>0</v>
      </c>
      <c r="M93" s="38" t="str">
        <f aca="false">IF($H93="","",IF($J93&lt;0,"Lebih Bayar",IF($J93=0,"Lunas",IF($L93&lt;=0,"Belum Jatuh Tempo",IF($L93&lt;=30,"1-30 hari",IF($L93&lt;=60,"31-60 hari",IF($L93&lt;=90,"61-90 hari","Lebih dari 90 hari")))))))</f>
        <v/>
      </c>
      <c r="N93" s="18" t="str">
        <f aca="false">IF($H93="","",IF($L93&lt;=0,"",$L93*1000000+ROW()))</f>
        <v/>
      </c>
    </row>
    <row r="94" customFormat="false" ht="15" hidden="false" customHeight="true" outlineLevel="0" collapsed="false">
      <c r="A94" s="18" t="str">
        <f aca="false">IF($C94="","",COUNTA($C$8:$C94))</f>
        <v/>
      </c>
      <c r="B94" s="40"/>
      <c r="C94" s="41"/>
      <c r="D94" s="19"/>
      <c r="E94" s="19"/>
      <c r="F94" s="42"/>
      <c r="G94" s="35" t="str">
        <f aca="false">IF(OR($B94="",$F94=""),"",$B94+$F94)</f>
        <v/>
      </c>
      <c r="H94" s="43"/>
      <c r="I94" s="43"/>
      <c r="J94" s="37" t="n">
        <f aca="false">IF($H94="",0,$H94-N($I94))</f>
        <v>0</v>
      </c>
      <c r="K94" s="38" t="str">
        <f aca="false">IF($H94="","",IF($J94&lt;0,"Lebih Bayar",IF($J94=0,"Lunas",IF(N($I94)&gt;0,"Bayar Sebagian","Belum Bayar"))))</f>
        <v/>
      </c>
      <c r="L94" s="39" t="n">
        <f aca="true">IF(OR($H94="",$G94=""),0,IF($J94&lt;=0,0,TODAY()-$G94))</f>
        <v>0</v>
      </c>
      <c r="M94" s="38" t="str">
        <f aca="false">IF($H94="","",IF($J94&lt;0,"Lebih Bayar",IF($J94=0,"Lunas",IF($L94&lt;=0,"Belum Jatuh Tempo",IF($L94&lt;=30,"1-30 hari",IF($L94&lt;=60,"31-60 hari",IF($L94&lt;=90,"61-90 hari","Lebih dari 90 hari")))))))</f>
        <v/>
      </c>
      <c r="N94" s="18" t="str">
        <f aca="false">IF($H94="","",IF($L94&lt;=0,"",$L94*1000000+ROW()))</f>
        <v/>
      </c>
    </row>
    <row r="95" customFormat="false" ht="15" hidden="false" customHeight="true" outlineLevel="0" collapsed="false">
      <c r="A95" s="18" t="str">
        <f aca="false">IF($C95="","",COUNTA($C$8:$C95))</f>
        <v/>
      </c>
      <c r="B95" s="44"/>
      <c r="C95" s="45"/>
      <c r="D95" s="46"/>
      <c r="E95" s="46"/>
      <c r="F95" s="47"/>
      <c r="G95" s="35" t="str">
        <f aca="false">IF(OR($B95="",$F95=""),"",$B95+$F95)</f>
        <v/>
      </c>
      <c r="H95" s="48"/>
      <c r="I95" s="48"/>
      <c r="J95" s="37" t="n">
        <f aca="false">IF($H95="",0,$H95-N($I95))</f>
        <v>0</v>
      </c>
      <c r="K95" s="38" t="str">
        <f aca="false">IF($H95="","",IF($J95&lt;0,"Lebih Bayar",IF($J95=0,"Lunas",IF(N($I95)&gt;0,"Bayar Sebagian","Belum Bayar"))))</f>
        <v/>
      </c>
      <c r="L95" s="39" t="n">
        <f aca="true">IF(OR($H95="",$G95=""),0,IF($J95&lt;=0,0,TODAY()-$G95))</f>
        <v>0</v>
      </c>
      <c r="M95" s="38" t="str">
        <f aca="false">IF($H95="","",IF($J95&lt;0,"Lebih Bayar",IF($J95=0,"Lunas",IF($L95&lt;=0,"Belum Jatuh Tempo",IF($L95&lt;=30,"1-30 hari",IF($L95&lt;=60,"31-60 hari",IF($L95&lt;=90,"61-90 hari","Lebih dari 90 hari")))))))</f>
        <v/>
      </c>
      <c r="N95" s="18" t="str">
        <f aca="false">IF($H95="","",IF($L95&lt;=0,"",$L95*1000000+ROW()))</f>
        <v/>
      </c>
    </row>
    <row r="96" customFormat="false" ht="15" hidden="false" customHeight="true" outlineLevel="0" collapsed="false">
      <c r="A96" s="18" t="str">
        <f aca="false">IF($C96="","",COUNTA($C$8:$C96))</f>
        <v/>
      </c>
      <c r="B96" s="40"/>
      <c r="C96" s="41"/>
      <c r="D96" s="19"/>
      <c r="E96" s="19"/>
      <c r="F96" s="42"/>
      <c r="G96" s="35" t="str">
        <f aca="false">IF(OR($B96="",$F96=""),"",$B96+$F96)</f>
        <v/>
      </c>
      <c r="H96" s="43"/>
      <c r="I96" s="43"/>
      <c r="J96" s="37" t="n">
        <f aca="false">IF($H96="",0,$H96-N($I96))</f>
        <v>0</v>
      </c>
      <c r="K96" s="38" t="str">
        <f aca="false">IF($H96="","",IF($J96&lt;0,"Lebih Bayar",IF($J96=0,"Lunas",IF(N($I96)&gt;0,"Bayar Sebagian","Belum Bayar"))))</f>
        <v/>
      </c>
      <c r="L96" s="39" t="n">
        <f aca="true">IF(OR($H96="",$G96=""),0,IF($J96&lt;=0,0,TODAY()-$G96))</f>
        <v>0</v>
      </c>
      <c r="M96" s="38" t="str">
        <f aca="false">IF($H96="","",IF($J96&lt;0,"Lebih Bayar",IF($J96=0,"Lunas",IF($L96&lt;=0,"Belum Jatuh Tempo",IF($L96&lt;=30,"1-30 hari",IF($L96&lt;=60,"31-60 hari",IF($L96&lt;=90,"61-90 hari","Lebih dari 90 hari")))))))</f>
        <v/>
      </c>
      <c r="N96" s="18" t="str">
        <f aca="false">IF($H96="","",IF($L96&lt;=0,"",$L96*1000000+ROW()))</f>
        <v/>
      </c>
    </row>
    <row r="97" customFormat="false" ht="15" hidden="false" customHeight="true" outlineLevel="0" collapsed="false">
      <c r="A97" s="18" t="str">
        <f aca="false">IF($C97="","",COUNTA($C$8:$C97))</f>
        <v/>
      </c>
      <c r="B97" s="44"/>
      <c r="C97" s="45"/>
      <c r="D97" s="46"/>
      <c r="E97" s="46"/>
      <c r="F97" s="47"/>
      <c r="G97" s="35" t="str">
        <f aca="false">IF(OR($B97="",$F97=""),"",$B97+$F97)</f>
        <v/>
      </c>
      <c r="H97" s="48"/>
      <c r="I97" s="48"/>
      <c r="J97" s="37" t="n">
        <f aca="false">IF($H97="",0,$H97-N($I97))</f>
        <v>0</v>
      </c>
      <c r="K97" s="38" t="str">
        <f aca="false">IF($H97="","",IF($J97&lt;0,"Lebih Bayar",IF($J97=0,"Lunas",IF(N($I97)&gt;0,"Bayar Sebagian","Belum Bayar"))))</f>
        <v/>
      </c>
      <c r="L97" s="39" t="n">
        <f aca="true">IF(OR($H97="",$G97=""),0,IF($J97&lt;=0,0,TODAY()-$G97))</f>
        <v>0</v>
      </c>
      <c r="M97" s="38" t="str">
        <f aca="false">IF($H97="","",IF($J97&lt;0,"Lebih Bayar",IF($J97=0,"Lunas",IF($L97&lt;=0,"Belum Jatuh Tempo",IF($L97&lt;=30,"1-30 hari",IF($L97&lt;=60,"31-60 hari",IF($L97&lt;=90,"61-90 hari","Lebih dari 90 hari")))))))</f>
        <v/>
      </c>
      <c r="N97" s="18" t="str">
        <f aca="false">IF($H97="","",IF($L97&lt;=0,"",$L97*1000000+ROW()))</f>
        <v/>
      </c>
    </row>
    <row r="98" customFormat="false" ht="15" hidden="false" customHeight="true" outlineLevel="0" collapsed="false">
      <c r="A98" s="18" t="str">
        <f aca="false">IF($C98="","",COUNTA($C$8:$C98))</f>
        <v/>
      </c>
      <c r="B98" s="40"/>
      <c r="C98" s="41"/>
      <c r="D98" s="19"/>
      <c r="E98" s="19"/>
      <c r="F98" s="42"/>
      <c r="G98" s="35" t="str">
        <f aca="false">IF(OR($B98="",$F98=""),"",$B98+$F98)</f>
        <v/>
      </c>
      <c r="H98" s="43"/>
      <c r="I98" s="43"/>
      <c r="J98" s="37" t="n">
        <f aca="false">IF($H98="",0,$H98-N($I98))</f>
        <v>0</v>
      </c>
      <c r="K98" s="38" t="str">
        <f aca="false">IF($H98="","",IF($J98&lt;0,"Lebih Bayar",IF($J98=0,"Lunas",IF(N($I98)&gt;0,"Bayar Sebagian","Belum Bayar"))))</f>
        <v/>
      </c>
      <c r="L98" s="39" t="n">
        <f aca="true">IF(OR($H98="",$G98=""),0,IF($J98&lt;=0,0,TODAY()-$G98))</f>
        <v>0</v>
      </c>
      <c r="M98" s="38" t="str">
        <f aca="false">IF($H98="","",IF($J98&lt;0,"Lebih Bayar",IF($J98=0,"Lunas",IF($L98&lt;=0,"Belum Jatuh Tempo",IF($L98&lt;=30,"1-30 hari",IF($L98&lt;=60,"31-60 hari",IF($L98&lt;=90,"61-90 hari","Lebih dari 90 hari")))))))</f>
        <v/>
      </c>
      <c r="N98" s="18" t="str">
        <f aca="false">IF($H98="","",IF($L98&lt;=0,"",$L98*1000000+ROW()))</f>
        <v/>
      </c>
    </row>
    <row r="99" customFormat="false" ht="15" hidden="false" customHeight="true" outlineLevel="0" collapsed="false">
      <c r="A99" s="18" t="str">
        <f aca="false">IF($C99="","",COUNTA($C$8:$C99))</f>
        <v/>
      </c>
      <c r="B99" s="44"/>
      <c r="C99" s="45"/>
      <c r="D99" s="46"/>
      <c r="E99" s="46"/>
      <c r="F99" s="47"/>
      <c r="G99" s="35" t="str">
        <f aca="false">IF(OR($B99="",$F99=""),"",$B99+$F99)</f>
        <v/>
      </c>
      <c r="H99" s="48"/>
      <c r="I99" s="48"/>
      <c r="J99" s="37" t="n">
        <f aca="false">IF($H99="",0,$H99-N($I99))</f>
        <v>0</v>
      </c>
      <c r="K99" s="38" t="str">
        <f aca="false">IF($H99="","",IF($J99&lt;0,"Lebih Bayar",IF($J99=0,"Lunas",IF(N($I99)&gt;0,"Bayar Sebagian","Belum Bayar"))))</f>
        <v/>
      </c>
      <c r="L99" s="39" t="n">
        <f aca="true">IF(OR($H99="",$G99=""),0,IF($J99&lt;=0,0,TODAY()-$G99))</f>
        <v>0</v>
      </c>
      <c r="M99" s="38" t="str">
        <f aca="false">IF($H99="","",IF($J99&lt;0,"Lebih Bayar",IF($J99=0,"Lunas",IF($L99&lt;=0,"Belum Jatuh Tempo",IF($L99&lt;=30,"1-30 hari",IF($L99&lt;=60,"31-60 hari",IF($L99&lt;=90,"61-90 hari","Lebih dari 90 hari")))))))</f>
        <v/>
      </c>
      <c r="N99" s="18" t="str">
        <f aca="false">IF($H99="","",IF($L99&lt;=0,"",$L99*1000000+ROW()))</f>
        <v/>
      </c>
    </row>
    <row r="100" customFormat="false" ht="15" hidden="false" customHeight="true" outlineLevel="0" collapsed="false">
      <c r="A100" s="18" t="str">
        <f aca="false">IF($C100="","",COUNTA($C$8:$C100))</f>
        <v/>
      </c>
      <c r="B100" s="40"/>
      <c r="C100" s="41"/>
      <c r="D100" s="19"/>
      <c r="E100" s="19"/>
      <c r="F100" s="42"/>
      <c r="G100" s="35" t="str">
        <f aca="false">IF(OR($B100="",$F100=""),"",$B100+$F100)</f>
        <v/>
      </c>
      <c r="H100" s="43"/>
      <c r="I100" s="43"/>
      <c r="J100" s="37" t="n">
        <f aca="false">IF($H100="",0,$H100-N($I100))</f>
        <v>0</v>
      </c>
      <c r="K100" s="38" t="str">
        <f aca="false">IF($H100="","",IF($J100&lt;0,"Lebih Bayar",IF($J100=0,"Lunas",IF(N($I100)&gt;0,"Bayar Sebagian","Belum Bayar"))))</f>
        <v/>
      </c>
      <c r="L100" s="39" t="n">
        <f aca="true">IF(OR($H100="",$G100=""),0,IF($J100&lt;=0,0,TODAY()-$G100))</f>
        <v>0</v>
      </c>
      <c r="M100" s="38" t="str">
        <f aca="false">IF($H100="","",IF($J100&lt;0,"Lebih Bayar",IF($J100=0,"Lunas",IF($L100&lt;=0,"Belum Jatuh Tempo",IF($L100&lt;=30,"1-30 hari",IF($L100&lt;=60,"31-60 hari",IF($L100&lt;=90,"61-90 hari","Lebih dari 90 hari")))))))</f>
        <v/>
      </c>
      <c r="N100" s="18" t="str">
        <f aca="false">IF($H100="","",IF($L100&lt;=0,"",$L100*1000000+ROW()))</f>
        <v/>
      </c>
    </row>
    <row r="101" customFormat="false" ht="15" hidden="false" customHeight="true" outlineLevel="0" collapsed="false">
      <c r="A101" s="18" t="str">
        <f aca="false">IF($C101="","",COUNTA($C$8:$C101))</f>
        <v/>
      </c>
      <c r="B101" s="44"/>
      <c r="C101" s="45"/>
      <c r="D101" s="46"/>
      <c r="E101" s="46"/>
      <c r="F101" s="47"/>
      <c r="G101" s="35" t="str">
        <f aca="false">IF(OR($B101="",$F101=""),"",$B101+$F101)</f>
        <v/>
      </c>
      <c r="H101" s="48"/>
      <c r="I101" s="48"/>
      <c r="J101" s="37" t="n">
        <f aca="false">IF($H101="",0,$H101-N($I101))</f>
        <v>0</v>
      </c>
      <c r="K101" s="38" t="str">
        <f aca="false">IF($H101="","",IF($J101&lt;0,"Lebih Bayar",IF($J101=0,"Lunas",IF(N($I101)&gt;0,"Bayar Sebagian","Belum Bayar"))))</f>
        <v/>
      </c>
      <c r="L101" s="39" t="n">
        <f aca="true">IF(OR($H101="",$G101=""),0,IF($J101&lt;=0,0,TODAY()-$G101))</f>
        <v>0</v>
      </c>
      <c r="M101" s="38" t="str">
        <f aca="false">IF($H101="","",IF($J101&lt;0,"Lebih Bayar",IF($J101=0,"Lunas",IF($L101&lt;=0,"Belum Jatuh Tempo",IF($L101&lt;=30,"1-30 hari",IF($L101&lt;=60,"31-60 hari",IF($L101&lt;=90,"61-90 hari","Lebih dari 90 hari")))))))</f>
        <v/>
      </c>
      <c r="N101" s="18" t="str">
        <f aca="false">IF($H101="","",IF($L101&lt;=0,"",$L101*1000000+ROW()))</f>
        <v/>
      </c>
    </row>
    <row r="102" customFormat="false" ht="15" hidden="false" customHeight="true" outlineLevel="0" collapsed="false">
      <c r="A102" s="18" t="str">
        <f aca="false">IF($C102="","",COUNTA($C$8:$C102))</f>
        <v/>
      </c>
      <c r="B102" s="40"/>
      <c r="C102" s="41"/>
      <c r="D102" s="19"/>
      <c r="E102" s="19"/>
      <c r="F102" s="42"/>
      <c r="G102" s="35" t="str">
        <f aca="false">IF(OR($B102="",$F102=""),"",$B102+$F102)</f>
        <v/>
      </c>
      <c r="H102" s="43"/>
      <c r="I102" s="43"/>
      <c r="J102" s="37" t="n">
        <f aca="false">IF($H102="",0,$H102-N($I102))</f>
        <v>0</v>
      </c>
      <c r="K102" s="38" t="str">
        <f aca="false">IF($H102="","",IF($J102&lt;0,"Lebih Bayar",IF($J102=0,"Lunas",IF(N($I102)&gt;0,"Bayar Sebagian","Belum Bayar"))))</f>
        <v/>
      </c>
      <c r="L102" s="39" t="n">
        <f aca="true">IF(OR($H102="",$G102=""),0,IF($J102&lt;=0,0,TODAY()-$G102))</f>
        <v>0</v>
      </c>
      <c r="M102" s="38" t="str">
        <f aca="false">IF($H102="","",IF($J102&lt;0,"Lebih Bayar",IF($J102=0,"Lunas",IF($L102&lt;=0,"Belum Jatuh Tempo",IF($L102&lt;=30,"1-30 hari",IF($L102&lt;=60,"31-60 hari",IF($L102&lt;=90,"61-90 hari","Lebih dari 90 hari")))))))</f>
        <v/>
      </c>
      <c r="N102" s="18" t="str">
        <f aca="false">IF($H102="","",IF($L102&lt;=0,"",$L102*1000000+ROW()))</f>
        <v/>
      </c>
    </row>
    <row r="103" customFormat="false" ht="15" hidden="false" customHeight="true" outlineLevel="0" collapsed="false">
      <c r="A103" s="18" t="str">
        <f aca="false">IF($C103="","",COUNTA($C$8:$C103))</f>
        <v/>
      </c>
      <c r="B103" s="44"/>
      <c r="C103" s="45"/>
      <c r="D103" s="46"/>
      <c r="E103" s="46"/>
      <c r="F103" s="47"/>
      <c r="G103" s="35" t="str">
        <f aca="false">IF(OR($B103="",$F103=""),"",$B103+$F103)</f>
        <v/>
      </c>
      <c r="H103" s="48"/>
      <c r="I103" s="48"/>
      <c r="J103" s="37" t="n">
        <f aca="false">IF($H103="",0,$H103-N($I103))</f>
        <v>0</v>
      </c>
      <c r="K103" s="38" t="str">
        <f aca="false">IF($H103="","",IF($J103&lt;0,"Lebih Bayar",IF($J103=0,"Lunas",IF(N($I103)&gt;0,"Bayar Sebagian","Belum Bayar"))))</f>
        <v/>
      </c>
      <c r="L103" s="39" t="n">
        <f aca="true">IF(OR($H103="",$G103=""),0,IF($J103&lt;=0,0,TODAY()-$G103))</f>
        <v>0</v>
      </c>
      <c r="M103" s="38" t="str">
        <f aca="false">IF($H103="","",IF($J103&lt;0,"Lebih Bayar",IF($J103=0,"Lunas",IF($L103&lt;=0,"Belum Jatuh Tempo",IF($L103&lt;=30,"1-30 hari",IF($L103&lt;=60,"31-60 hari",IF($L103&lt;=90,"61-90 hari","Lebih dari 90 hari")))))))</f>
        <v/>
      </c>
      <c r="N103" s="18" t="str">
        <f aca="false">IF($H103="","",IF($L103&lt;=0,"",$L103*1000000+ROW()))</f>
        <v/>
      </c>
    </row>
    <row r="104" customFormat="false" ht="15" hidden="false" customHeight="true" outlineLevel="0" collapsed="false">
      <c r="A104" s="18" t="str">
        <f aca="false">IF($C104="","",COUNTA($C$8:$C104))</f>
        <v/>
      </c>
      <c r="B104" s="40"/>
      <c r="C104" s="41"/>
      <c r="D104" s="19"/>
      <c r="E104" s="19"/>
      <c r="F104" s="42"/>
      <c r="G104" s="35" t="str">
        <f aca="false">IF(OR($B104="",$F104=""),"",$B104+$F104)</f>
        <v/>
      </c>
      <c r="H104" s="43"/>
      <c r="I104" s="43"/>
      <c r="J104" s="37" t="n">
        <f aca="false">IF($H104="",0,$H104-N($I104))</f>
        <v>0</v>
      </c>
      <c r="K104" s="38" t="str">
        <f aca="false">IF($H104="","",IF($J104&lt;0,"Lebih Bayar",IF($J104=0,"Lunas",IF(N($I104)&gt;0,"Bayar Sebagian","Belum Bayar"))))</f>
        <v/>
      </c>
      <c r="L104" s="39" t="n">
        <f aca="true">IF(OR($H104="",$G104=""),0,IF($J104&lt;=0,0,TODAY()-$G104))</f>
        <v>0</v>
      </c>
      <c r="M104" s="38" t="str">
        <f aca="false">IF($H104="","",IF($J104&lt;0,"Lebih Bayar",IF($J104=0,"Lunas",IF($L104&lt;=0,"Belum Jatuh Tempo",IF($L104&lt;=30,"1-30 hari",IF($L104&lt;=60,"31-60 hari",IF($L104&lt;=90,"61-90 hari","Lebih dari 90 hari")))))))</f>
        <v/>
      </c>
      <c r="N104" s="18" t="str">
        <f aca="false">IF($H104="","",IF($L104&lt;=0,"",$L104*1000000+ROW()))</f>
        <v/>
      </c>
    </row>
    <row r="105" customFormat="false" ht="15" hidden="false" customHeight="true" outlineLevel="0" collapsed="false">
      <c r="A105" s="18" t="str">
        <f aca="false">IF($C105="","",COUNTA($C$8:$C105))</f>
        <v/>
      </c>
      <c r="B105" s="44"/>
      <c r="C105" s="45"/>
      <c r="D105" s="46"/>
      <c r="E105" s="46"/>
      <c r="F105" s="47"/>
      <c r="G105" s="35" t="str">
        <f aca="false">IF(OR($B105="",$F105=""),"",$B105+$F105)</f>
        <v/>
      </c>
      <c r="H105" s="48"/>
      <c r="I105" s="48"/>
      <c r="J105" s="37" t="n">
        <f aca="false">IF($H105="",0,$H105-N($I105))</f>
        <v>0</v>
      </c>
      <c r="K105" s="38" t="str">
        <f aca="false">IF($H105="","",IF($J105&lt;0,"Lebih Bayar",IF($J105=0,"Lunas",IF(N($I105)&gt;0,"Bayar Sebagian","Belum Bayar"))))</f>
        <v/>
      </c>
      <c r="L105" s="39" t="n">
        <f aca="true">IF(OR($H105="",$G105=""),0,IF($J105&lt;=0,0,TODAY()-$G105))</f>
        <v>0</v>
      </c>
      <c r="M105" s="38" t="str">
        <f aca="false">IF($H105="","",IF($J105&lt;0,"Lebih Bayar",IF($J105=0,"Lunas",IF($L105&lt;=0,"Belum Jatuh Tempo",IF($L105&lt;=30,"1-30 hari",IF($L105&lt;=60,"31-60 hari",IF($L105&lt;=90,"61-90 hari","Lebih dari 90 hari")))))))</f>
        <v/>
      </c>
      <c r="N105" s="18" t="str">
        <f aca="false">IF($H105="","",IF($L105&lt;=0,"",$L105*1000000+ROW()))</f>
        <v/>
      </c>
    </row>
    <row r="106" customFormat="false" ht="15" hidden="false" customHeight="true" outlineLevel="0" collapsed="false">
      <c r="A106" s="18" t="str">
        <f aca="false">IF($C106="","",COUNTA($C$8:$C106))</f>
        <v/>
      </c>
      <c r="B106" s="40"/>
      <c r="C106" s="41"/>
      <c r="D106" s="19"/>
      <c r="E106" s="19"/>
      <c r="F106" s="42"/>
      <c r="G106" s="35" t="str">
        <f aca="false">IF(OR($B106="",$F106=""),"",$B106+$F106)</f>
        <v/>
      </c>
      <c r="H106" s="43"/>
      <c r="I106" s="43"/>
      <c r="J106" s="37" t="n">
        <f aca="false">IF($H106="",0,$H106-N($I106))</f>
        <v>0</v>
      </c>
      <c r="K106" s="38" t="str">
        <f aca="false">IF($H106="","",IF($J106&lt;0,"Lebih Bayar",IF($J106=0,"Lunas",IF(N($I106)&gt;0,"Bayar Sebagian","Belum Bayar"))))</f>
        <v/>
      </c>
      <c r="L106" s="39" t="n">
        <f aca="true">IF(OR($H106="",$G106=""),0,IF($J106&lt;=0,0,TODAY()-$G106))</f>
        <v>0</v>
      </c>
      <c r="M106" s="38" t="str">
        <f aca="false">IF($H106="","",IF($J106&lt;0,"Lebih Bayar",IF($J106=0,"Lunas",IF($L106&lt;=0,"Belum Jatuh Tempo",IF($L106&lt;=30,"1-30 hari",IF($L106&lt;=60,"31-60 hari",IF($L106&lt;=90,"61-90 hari","Lebih dari 90 hari")))))))</f>
        <v/>
      </c>
      <c r="N106" s="18" t="str">
        <f aca="false">IF($H106="","",IF($L106&lt;=0,"",$L106*1000000+ROW()))</f>
        <v/>
      </c>
    </row>
    <row r="107" customFormat="false" ht="15" hidden="false" customHeight="true" outlineLevel="0" collapsed="false">
      <c r="A107" s="18" t="str">
        <f aca="false">IF($C107="","",COUNTA($C$8:$C107))</f>
        <v/>
      </c>
      <c r="B107" s="44"/>
      <c r="C107" s="45"/>
      <c r="D107" s="46"/>
      <c r="E107" s="46"/>
      <c r="F107" s="47"/>
      <c r="G107" s="35" t="str">
        <f aca="false">IF(OR($B107="",$F107=""),"",$B107+$F107)</f>
        <v/>
      </c>
      <c r="H107" s="48"/>
      <c r="I107" s="48"/>
      <c r="J107" s="37" t="n">
        <f aca="false">IF($H107="",0,$H107-N($I107))</f>
        <v>0</v>
      </c>
      <c r="K107" s="38" t="str">
        <f aca="false">IF($H107="","",IF($J107&lt;0,"Lebih Bayar",IF($J107=0,"Lunas",IF(N($I107)&gt;0,"Bayar Sebagian","Belum Bayar"))))</f>
        <v/>
      </c>
      <c r="L107" s="39" t="n">
        <f aca="true">IF(OR($H107="",$G107=""),0,IF($J107&lt;=0,0,TODAY()-$G107))</f>
        <v>0</v>
      </c>
      <c r="M107" s="38" t="str">
        <f aca="false">IF($H107="","",IF($J107&lt;0,"Lebih Bayar",IF($J107=0,"Lunas",IF($L107&lt;=0,"Belum Jatuh Tempo",IF($L107&lt;=30,"1-30 hari",IF($L107&lt;=60,"31-60 hari",IF($L107&lt;=90,"61-90 hari","Lebih dari 90 hari")))))))</f>
        <v/>
      </c>
      <c r="N107" s="18" t="str">
        <f aca="false">IF($H107="","",IF($L107&lt;=0,"",$L107*1000000+ROW()))</f>
        <v/>
      </c>
    </row>
    <row r="108" customFormat="false" ht="15" hidden="false" customHeight="true" outlineLevel="0" collapsed="false">
      <c r="A108" s="18" t="str">
        <f aca="false">IF($C108="","",COUNTA($C$8:$C108))</f>
        <v/>
      </c>
      <c r="B108" s="40"/>
      <c r="C108" s="41"/>
      <c r="D108" s="19"/>
      <c r="E108" s="19"/>
      <c r="F108" s="42"/>
      <c r="G108" s="35" t="str">
        <f aca="false">IF(OR($B108="",$F108=""),"",$B108+$F108)</f>
        <v/>
      </c>
      <c r="H108" s="43"/>
      <c r="I108" s="43"/>
      <c r="J108" s="37" t="n">
        <f aca="false">IF($H108="",0,$H108-N($I108))</f>
        <v>0</v>
      </c>
      <c r="K108" s="38" t="str">
        <f aca="false">IF($H108="","",IF($J108&lt;0,"Lebih Bayar",IF($J108=0,"Lunas",IF(N($I108)&gt;0,"Bayar Sebagian","Belum Bayar"))))</f>
        <v/>
      </c>
      <c r="L108" s="39" t="n">
        <f aca="true">IF(OR($H108="",$G108=""),0,IF($J108&lt;=0,0,TODAY()-$G108))</f>
        <v>0</v>
      </c>
      <c r="M108" s="38" t="str">
        <f aca="false">IF($H108="","",IF($J108&lt;0,"Lebih Bayar",IF($J108=0,"Lunas",IF($L108&lt;=0,"Belum Jatuh Tempo",IF($L108&lt;=30,"1-30 hari",IF($L108&lt;=60,"31-60 hari",IF($L108&lt;=90,"61-90 hari","Lebih dari 90 hari")))))))</f>
        <v/>
      </c>
      <c r="N108" s="18" t="str">
        <f aca="false">IF($H108="","",IF($L108&lt;=0,"",$L108*1000000+ROW()))</f>
        <v/>
      </c>
    </row>
    <row r="109" customFormat="false" ht="15" hidden="false" customHeight="true" outlineLevel="0" collapsed="false">
      <c r="A109" s="18" t="str">
        <f aca="false">IF($C109="","",COUNTA($C$8:$C109))</f>
        <v/>
      </c>
      <c r="B109" s="44"/>
      <c r="C109" s="45"/>
      <c r="D109" s="46"/>
      <c r="E109" s="46"/>
      <c r="F109" s="47"/>
      <c r="G109" s="35" t="str">
        <f aca="false">IF(OR($B109="",$F109=""),"",$B109+$F109)</f>
        <v/>
      </c>
      <c r="H109" s="48"/>
      <c r="I109" s="48"/>
      <c r="J109" s="37" t="n">
        <f aca="false">IF($H109="",0,$H109-N($I109))</f>
        <v>0</v>
      </c>
      <c r="K109" s="38" t="str">
        <f aca="false">IF($H109="","",IF($J109&lt;0,"Lebih Bayar",IF($J109=0,"Lunas",IF(N($I109)&gt;0,"Bayar Sebagian","Belum Bayar"))))</f>
        <v/>
      </c>
      <c r="L109" s="39" t="n">
        <f aca="true">IF(OR($H109="",$G109=""),0,IF($J109&lt;=0,0,TODAY()-$G109))</f>
        <v>0</v>
      </c>
      <c r="M109" s="38" t="str">
        <f aca="false">IF($H109="","",IF($J109&lt;0,"Lebih Bayar",IF($J109=0,"Lunas",IF($L109&lt;=0,"Belum Jatuh Tempo",IF($L109&lt;=30,"1-30 hari",IF($L109&lt;=60,"31-60 hari",IF($L109&lt;=90,"61-90 hari","Lebih dari 90 hari")))))))</f>
        <v/>
      </c>
      <c r="N109" s="18" t="str">
        <f aca="false">IF($H109="","",IF($L109&lt;=0,"",$L109*1000000+ROW()))</f>
        <v/>
      </c>
    </row>
    <row r="110" customFormat="false" ht="15" hidden="false" customHeight="true" outlineLevel="0" collapsed="false">
      <c r="A110" s="18" t="str">
        <f aca="false">IF($C110="","",COUNTA($C$8:$C110))</f>
        <v/>
      </c>
      <c r="B110" s="40"/>
      <c r="C110" s="41"/>
      <c r="D110" s="19"/>
      <c r="E110" s="19"/>
      <c r="F110" s="42"/>
      <c r="G110" s="35" t="str">
        <f aca="false">IF(OR($B110="",$F110=""),"",$B110+$F110)</f>
        <v/>
      </c>
      <c r="H110" s="43"/>
      <c r="I110" s="43"/>
      <c r="J110" s="37" t="n">
        <f aca="false">IF($H110="",0,$H110-N($I110))</f>
        <v>0</v>
      </c>
      <c r="K110" s="38" t="str">
        <f aca="false">IF($H110="","",IF($J110&lt;0,"Lebih Bayar",IF($J110=0,"Lunas",IF(N($I110)&gt;0,"Bayar Sebagian","Belum Bayar"))))</f>
        <v/>
      </c>
      <c r="L110" s="39" t="n">
        <f aca="true">IF(OR($H110="",$G110=""),0,IF($J110&lt;=0,0,TODAY()-$G110))</f>
        <v>0</v>
      </c>
      <c r="M110" s="38" t="str">
        <f aca="false">IF($H110="","",IF($J110&lt;0,"Lebih Bayar",IF($J110=0,"Lunas",IF($L110&lt;=0,"Belum Jatuh Tempo",IF($L110&lt;=30,"1-30 hari",IF($L110&lt;=60,"31-60 hari",IF($L110&lt;=90,"61-90 hari","Lebih dari 90 hari")))))))</f>
        <v/>
      </c>
      <c r="N110" s="18" t="str">
        <f aca="false">IF($H110="","",IF($L110&lt;=0,"",$L110*1000000+ROW()))</f>
        <v/>
      </c>
    </row>
    <row r="111" customFormat="false" ht="15" hidden="false" customHeight="true" outlineLevel="0" collapsed="false">
      <c r="A111" s="18" t="str">
        <f aca="false">IF($C111="","",COUNTA($C$8:$C111))</f>
        <v/>
      </c>
      <c r="B111" s="44"/>
      <c r="C111" s="45"/>
      <c r="D111" s="46"/>
      <c r="E111" s="46"/>
      <c r="F111" s="47"/>
      <c r="G111" s="35" t="str">
        <f aca="false">IF(OR($B111="",$F111=""),"",$B111+$F111)</f>
        <v/>
      </c>
      <c r="H111" s="48"/>
      <c r="I111" s="48"/>
      <c r="J111" s="37" t="n">
        <f aca="false">IF($H111="",0,$H111-N($I111))</f>
        <v>0</v>
      </c>
      <c r="K111" s="38" t="str">
        <f aca="false">IF($H111="","",IF($J111&lt;0,"Lebih Bayar",IF($J111=0,"Lunas",IF(N($I111)&gt;0,"Bayar Sebagian","Belum Bayar"))))</f>
        <v/>
      </c>
      <c r="L111" s="39" t="n">
        <f aca="true">IF(OR($H111="",$G111=""),0,IF($J111&lt;=0,0,TODAY()-$G111))</f>
        <v>0</v>
      </c>
      <c r="M111" s="38" t="str">
        <f aca="false">IF($H111="","",IF($J111&lt;0,"Lebih Bayar",IF($J111=0,"Lunas",IF($L111&lt;=0,"Belum Jatuh Tempo",IF($L111&lt;=30,"1-30 hari",IF($L111&lt;=60,"31-60 hari",IF($L111&lt;=90,"61-90 hari","Lebih dari 90 hari")))))))</f>
        <v/>
      </c>
      <c r="N111" s="18" t="str">
        <f aca="false">IF($H111="","",IF($L111&lt;=0,"",$L111*1000000+ROW()))</f>
        <v/>
      </c>
    </row>
    <row r="112" customFormat="false" ht="15" hidden="false" customHeight="true" outlineLevel="0" collapsed="false">
      <c r="A112" s="18" t="str">
        <f aca="false">IF($C112="","",COUNTA($C$8:$C112))</f>
        <v/>
      </c>
      <c r="B112" s="40"/>
      <c r="C112" s="41"/>
      <c r="D112" s="19"/>
      <c r="E112" s="19"/>
      <c r="F112" s="42"/>
      <c r="G112" s="35" t="str">
        <f aca="false">IF(OR($B112="",$F112=""),"",$B112+$F112)</f>
        <v/>
      </c>
      <c r="H112" s="43"/>
      <c r="I112" s="43"/>
      <c r="J112" s="37" t="n">
        <f aca="false">IF($H112="",0,$H112-N($I112))</f>
        <v>0</v>
      </c>
      <c r="K112" s="38" t="str">
        <f aca="false">IF($H112="","",IF($J112&lt;0,"Lebih Bayar",IF($J112=0,"Lunas",IF(N($I112)&gt;0,"Bayar Sebagian","Belum Bayar"))))</f>
        <v/>
      </c>
      <c r="L112" s="39" t="n">
        <f aca="true">IF(OR($H112="",$G112=""),0,IF($J112&lt;=0,0,TODAY()-$G112))</f>
        <v>0</v>
      </c>
      <c r="M112" s="38" t="str">
        <f aca="false">IF($H112="","",IF($J112&lt;0,"Lebih Bayar",IF($J112=0,"Lunas",IF($L112&lt;=0,"Belum Jatuh Tempo",IF($L112&lt;=30,"1-30 hari",IF($L112&lt;=60,"31-60 hari",IF($L112&lt;=90,"61-90 hari","Lebih dari 90 hari")))))))</f>
        <v/>
      </c>
      <c r="N112" s="18" t="str">
        <f aca="false">IF($H112="","",IF($L112&lt;=0,"",$L112*1000000+ROW()))</f>
        <v/>
      </c>
    </row>
    <row r="113" customFormat="false" ht="15" hidden="false" customHeight="true" outlineLevel="0" collapsed="false">
      <c r="A113" s="18" t="str">
        <f aca="false">IF($C113="","",COUNTA($C$8:$C113))</f>
        <v/>
      </c>
      <c r="B113" s="44"/>
      <c r="C113" s="45"/>
      <c r="D113" s="46"/>
      <c r="E113" s="46"/>
      <c r="F113" s="47"/>
      <c r="G113" s="35" t="str">
        <f aca="false">IF(OR($B113="",$F113=""),"",$B113+$F113)</f>
        <v/>
      </c>
      <c r="H113" s="48"/>
      <c r="I113" s="48"/>
      <c r="J113" s="37" t="n">
        <f aca="false">IF($H113="",0,$H113-N($I113))</f>
        <v>0</v>
      </c>
      <c r="K113" s="38" t="str">
        <f aca="false">IF($H113="","",IF($J113&lt;0,"Lebih Bayar",IF($J113=0,"Lunas",IF(N($I113)&gt;0,"Bayar Sebagian","Belum Bayar"))))</f>
        <v/>
      </c>
      <c r="L113" s="39" t="n">
        <f aca="true">IF(OR($H113="",$G113=""),0,IF($J113&lt;=0,0,TODAY()-$G113))</f>
        <v>0</v>
      </c>
      <c r="M113" s="38" t="str">
        <f aca="false">IF($H113="","",IF($J113&lt;0,"Lebih Bayar",IF($J113=0,"Lunas",IF($L113&lt;=0,"Belum Jatuh Tempo",IF($L113&lt;=30,"1-30 hari",IF($L113&lt;=60,"31-60 hari",IF($L113&lt;=90,"61-90 hari","Lebih dari 90 hari")))))))</f>
        <v/>
      </c>
      <c r="N113" s="18" t="str">
        <f aca="false">IF($H113="","",IF($L113&lt;=0,"",$L113*1000000+ROW()))</f>
        <v/>
      </c>
    </row>
    <row r="114" customFormat="false" ht="15" hidden="false" customHeight="true" outlineLevel="0" collapsed="false">
      <c r="A114" s="18" t="str">
        <f aca="false">IF($C114="","",COUNTA($C$8:$C114))</f>
        <v/>
      </c>
      <c r="B114" s="40"/>
      <c r="C114" s="41"/>
      <c r="D114" s="19"/>
      <c r="E114" s="19"/>
      <c r="F114" s="42"/>
      <c r="G114" s="35" t="str">
        <f aca="false">IF(OR($B114="",$F114=""),"",$B114+$F114)</f>
        <v/>
      </c>
      <c r="H114" s="43"/>
      <c r="I114" s="43"/>
      <c r="J114" s="37" t="n">
        <f aca="false">IF($H114="",0,$H114-N($I114))</f>
        <v>0</v>
      </c>
      <c r="K114" s="38" t="str">
        <f aca="false">IF($H114="","",IF($J114&lt;0,"Lebih Bayar",IF($J114=0,"Lunas",IF(N($I114)&gt;0,"Bayar Sebagian","Belum Bayar"))))</f>
        <v/>
      </c>
      <c r="L114" s="39" t="n">
        <f aca="true">IF(OR($H114="",$G114=""),0,IF($J114&lt;=0,0,TODAY()-$G114))</f>
        <v>0</v>
      </c>
      <c r="M114" s="38" t="str">
        <f aca="false">IF($H114="","",IF($J114&lt;0,"Lebih Bayar",IF($J114=0,"Lunas",IF($L114&lt;=0,"Belum Jatuh Tempo",IF($L114&lt;=30,"1-30 hari",IF($L114&lt;=60,"31-60 hari",IF($L114&lt;=90,"61-90 hari","Lebih dari 90 hari")))))))</f>
        <v/>
      </c>
      <c r="N114" s="18" t="str">
        <f aca="false">IF($H114="","",IF($L114&lt;=0,"",$L114*1000000+ROW()))</f>
        <v/>
      </c>
    </row>
    <row r="115" customFormat="false" ht="15" hidden="false" customHeight="true" outlineLevel="0" collapsed="false">
      <c r="A115" s="18" t="str">
        <f aca="false">IF($C115="","",COUNTA($C$8:$C115))</f>
        <v/>
      </c>
      <c r="B115" s="44"/>
      <c r="C115" s="45"/>
      <c r="D115" s="46"/>
      <c r="E115" s="46"/>
      <c r="F115" s="47"/>
      <c r="G115" s="35" t="str">
        <f aca="false">IF(OR($B115="",$F115=""),"",$B115+$F115)</f>
        <v/>
      </c>
      <c r="H115" s="48"/>
      <c r="I115" s="48"/>
      <c r="J115" s="37" t="n">
        <f aca="false">IF($H115="",0,$H115-N($I115))</f>
        <v>0</v>
      </c>
      <c r="K115" s="38" t="str">
        <f aca="false">IF($H115="","",IF($J115&lt;0,"Lebih Bayar",IF($J115=0,"Lunas",IF(N($I115)&gt;0,"Bayar Sebagian","Belum Bayar"))))</f>
        <v/>
      </c>
      <c r="L115" s="39" t="n">
        <f aca="true">IF(OR($H115="",$G115=""),0,IF($J115&lt;=0,0,TODAY()-$G115))</f>
        <v>0</v>
      </c>
      <c r="M115" s="38" t="str">
        <f aca="false">IF($H115="","",IF($J115&lt;0,"Lebih Bayar",IF($J115=0,"Lunas",IF($L115&lt;=0,"Belum Jatuh Tempo",IF($L115&lt;=30,"1-30 hari",IF($L115&lt;=60,"31-60 hari",IF($L115&lt;=90,"61-90 hari","Lebih dari 90 hari")))))))</f>
        <v/>
      </c>
      <c r="N115" s="18" t="str">
        <f aca="false">IF($H115="","",IF($L115&lt;=0,"",$L115*1000000+ROW()))</f>
        <v/>
      </c>
    </row>
    <row r="116" customFormat="false" ht="15" hidden="false" customHeight="true" outlineLevel="0" collapsed="false">
      <c r="A116" s="18" t="str">
        <f aca="false">IF($C116="","",COUNTA($C$8:$C116))</f>
        <v/>
      </c>
      <c r="B116" s="40"/>
      <c r="C116" s="41"/>
      <c r="D116" s="19"/>
      <c r="E116" s="19"/>
      <c r="F116" s="42"/>
      <c r="G116" s="35" t="str">
        <f aca="false">IF(OR($B116="",$F116=""),"",$B116+$F116)</f>
        <v/>
      </c>
      <c r="H116" s="43"/>
      <c r="I116" s="43"/>
      <c r="J116" s="37" t="n">
        <f aca="false">IF($H116="",0,$H116-N($I116))</f>
        <v>0</v>
      </c>
      <c r="K116" s="38" t="str">
        <f aca="false">IF($H116="","",IF($J116&lt;0,"Lebih Bayar",IF($J116=0,"Lunas",IF(N($I116)&gt;0,"Bayar Sebagian","Belum Bayar"))))</f>
        <v/>
      </c>
      <c r="L116" s="39" t="n">
        <f aca="true">IF(OR($H116="",$G116=""),0,IF($J116&lt;=0,0,TODAY()-$G116))</f>
        <v>0</v>
      </c>
      <c r="M116" s="38" t="str">
        <f aca="false">IF($H116="","",IF($J116&lt;0,"Lebih Bayar",IF($J116=0,"Lunas",IF($L116&lt;=0,"Belum Jatuh Tempo",IF($L116&lt;=30,"1-30 hari",IF($L116&lt;=60,"31-60 hari",IF($L116&lt;=90,"61-90 hari","Lebih dari 90 hari")))))))</f>
        <v/>
      </c>
      <c r="N116" s="18" t="str">
        <f aca="false">IF($H116="","",IF($L116&lt;=0,"",$L116*1000000+ROW()))</f>
        <v/>
      </c>
    </row>
    <row r="117" customFormat="false" ht="15" hidden="false" customHeight="true" outlineLevel="0" collapsed="false">
      <c r="A117" s="18" t="str">
        <f aca="false">IF($C117="","",COUNTA($C$8:$C117))</f>
        <v/>
      </c>
      <c r="B117" s="44"/>
      <c r="C117" s="45"/>
      <c r="D117" s="46"/>
      <c r="E117" s="46"/>
      <c r="F117" s="47"/>
      <c r="G117" s="35" t="str">
        <f aca="false">IF(OR($B117="",$F117=""),"",$B117+$F117)</f>
        <v/>
      </c>
      <c r="H117" s="48"/>
      <c r="I117" s="48"/>
      <c r="J117" s="37" t="n">
        <f aca="false">IF($H117="",0,$H117-N($I117))</f>
        <v>0</v>
      </c>
      <c r="K117" s="38" t="str">
        <f aca="false">IF($H117="","",IF($J117&lt;0,"Lebih Bayar",IF($J117=0,"Lunas",IF(N($I117)&gt;0,"Bayar Sebagian","Belum Bayar"))))</f>
        <v/>
      </c>
      <c r="L117" s="39" t="n">
        <f aca="true">IF(OR($H117="",$G117=""),0,IF($J117&lt;=0,0,TODAY()-$G117))</f>
        <v>0</v>
      </c>
      <c r="M117" s="38" t="str">
        <f aca="false">IF($H117="","",IF($J117&lt;0,"Lebih Bayar",IF($J117=0,"Lunas",IF($L117&lt;=0,"Belum Jatuh Tempo",IF($L117&lt;=30,"1-30 hari",IF($L117&lt;=60,"31-60 hari",IF($L117&lt;=90,"61-90 hari","Lebih dari 90 hari")))))))</f>
        <v/>
      </c>
      <c r="N117" s="18" t="str">
        <f aca="false">IF($H117="","",IF($L117&lt;=0,"",$L117*1000000+ROW()))</f>
        <v/>
      </c>
    </row>
    <row r="118" customFormat="false" ht="15" hidden="false" customHeight="true" outlineLevel="0" collapsed="false">
      <c r="A118" s="18" t="str">
        <f aca="false">IF($C118="","",COUNTA($C$8:$C118))</f>
        <v/>
      </c>
      <c r="B118" s="40"/>
      <c r="C118" s="41"/>
      <c r="D118" s="19"/>
      <c r="E118" s="19"/>
      <c r="F118" s="42"/>
      <c r="G118" s="35" t="str">
        <f aca="false">IF(OR($B118="",$F118=""),"",$B118+$F118)</f>
        <v/>
      </c>
      <c r="H118" s="43"/>
      <c r="I118" s="43"/>
      <c r="J118" s="37" t="n">
        <f aca="false">IF($H118="",0,$H118-N($I118))</f>
        <v>0</v>
      </c>
      <c r="K118" s="38" t="str">
        <f aca="false">IF($H118="","",IF($J118&lt;0,"Lebih Bayar",IF($J118=0,"Lunas",IF(N($I118)&gt;0,"Bayar Sebagian","Belum Bayar"))))</f>
        <v/>
      </c>
      <c r="L118" s="39" t="n">
        <f aca="true">IF(OR($H118="",$G118=""),0,IF($J118&lt;=0,0,TODAY()-$G118))</f>
        <v>0</v>
      </c>
      <c r="M118" s="38" t="str">
        <f aca="false">IF($H118="","",IF($J118&lt;0,"Lebih Bayar",IF($J118=0,"Lunas",IF($L118&lt;=0,"Belum Jatuh Tempo",IF($L118&lt;=30,"1-30 hari",IF($L118&lt;=60,"31-60 hari",IF($L118&lt;=90,"61-90 hari","Lebih dari 90 hari")))))))</f>
        <v/>
      </c>
      <c r="N118" s="18" t="str">
        <f aca="false">IF($H118="","",IF($L118&lt;=0,"",$L118*1000000+ROW()))</f>
        <v/>
      </c>
    </row>
    <row r="119" customFormat="false" ht="15" hidden="false" customHeight="true" outlineLevel="0" collapsed="false">
      <c r="A119" s="18" t="str">
        <f aca="false">IF($C119="","",COUNTA($C$8:$C119))</f>
        <v/>
      </c>
      <c r="B119" s="44"/>
      <c r="C119" s="45"/>
      <c r="D119" s="46"/>
      <c r="E119" s="46"/>
      <c r="F119" s="47"/>
      <c r="G119" s="35" t="str">
        <f aca="false">IF(OR($B119="",$F119=""),"",$B119+$F119)</f>
        <v/>
      </c>
      <c r="H119" s="48"/>
      <c r="I119" s="48"/>
      <c r="J119" s="37" t="n">
        <f aca="false">IF($H119="",0,$H119-N($I119))</f>
        <v>0</v>
      </c>
      <c r="K119" s="38" t="str">
        <f aca="false">IF($H119="","",IF($J119&lt;0,"Lebih Bayar",IF($J119=0,"Lunas",IF(N($I119)&gt;0,"Bayar Sebagian","Belum Bayar"))))</f>
        <v/>
      </c>
      <c r="L119" s="39" t="n">
        <f aca="true">IF(OR($H119="",$G119=""),0,IF($J119&lt;=0,0,TODAY()-$G119))</f>
        <v>0</v>
      </c>
      <c r="M119" s="38" t="str">
        <f aca="false">IF($H119="","",IF($J119&lt;0,"Lebih Bayar",IF($J119=0,"Lunas",IF($L119&lt;=0,"Belum Jatuh Tempo",IF($L119&lt;=30,"1-30 hari",IF($L119&lt;=60,"31-60 hari",IF($L119&lt;=90,"61-90 hari","Lebih dari 90 hari")))))))</f>
        <v/>
      </c>
      <c r="N119" s="18" t="str">
        <f aca="false">IF($H119="","",IF($L119&lt;=0,"",$L119*1000000+ROW()))</f>
        <v/>
      </c>
    </row>
    <row r="120" customFormat="false" ht="15" hidden="false" customHeight="true" outlineLevel="0" collapsed="false">
      <c r="A120" s="18" t="str">
        <f aca="false">IF($C120="","",COUNTA($C$8:$C120))</f>
        <v/>
      </c>
      <c r="B120" s="40"/>
      <c r="C120" s="41"/>
      <c r="D120" s="19"/>
      <c r="E120" s="19"/>
      <c r="F120" s="42"/>
      <c r="G120" s="35" t="str">
        <f aca="false">IF(OR($B120="",$F120=""),"",$B120+$F120)</f>
        <v/>
      </c>
      <c r="H120" s="43"/>
      <c r="I120" s="43"/>
      <c r="J120" s="37" t="n">
        <f aca="false">IF($H120="",0,$H120-N($I120))</f>
        <v>0</v>
      </c>
      <c r="K120" s="38" t="str">
        <f aca="false">IF($H120="","",IF($J120&lt;0,"Lebih Bayar",IF($J120=0,"Lunas",IF(N($I120)&gt;0,"Bayar Sebagian","Belum Bayar"))))</f>
        <v/>
      </c>
      <c r="L120" s="39" t="n">
        <f aca="true">IF(OR($H120="",$G120=""),0,IF($J120&lt;=0,0,TODAY()-$G120))</f>
        <v>0</v>
      </c>
      <c r="M120" s="38" t="str">
        <f aca="false">IF($H120="","",IF($J120&lt;0,"Lebih Bayar",IF($J120=0,"Lunas",IF($L120&lt;=0,"Belum Jatuh Tempo",IF($L120&lt;=30,"1-30 hari",IF($L120&lt;=60,"31-60 hari",IF($L120&lt;=90,"61-90 hari","Lebih dari 90 hari")))))))</f>
        <v/>
      </c>
      <c r="N120" s="18" t="str">
        <f aca="false">IF($H120="","",IF($L120&lt;=0,"",$L120*1000000+ROW()))</f>
        <v/>
      </c>
    </row>
    <row r="121" customFormat="false" ht="15" hidden="false" customHeight="true" outlineLevel="0" collapsed="false">
      <c r="A121" s="18" t="str">
        <f aca="false">IF($C121="","",COUNTA($C$8:$C121))</f>
        <v/>
      </c>
      <c r="B121" s="44"/>
      <c r="C121" s="45"/>
      <c r="D121" s="46"/>
      <c r="E121" s="46"/>
      <c r="F121" s="47"/>
      <c r="G121" s="35" t="str">
        <f aca="false">IF(OR($B121="",$F121=""),"",$B121+$F121)</f>
        <v/>
      </c>
      <c r="H121" s="48"/>
      <c r="I121" s="48"/>
      <c r="J121" s="37" t="n">
        <f aca="false">IF($H121="",0,$H121-N($I121))</f>
        <v>0</v>
      </c>
      <c r="K121" s="38" t="str">
        <f aca="false">IF($H121="","",IF($J121&lt;0,"Lebih Bayar",IF($J121=0,"Lunas",IF(N($I121)&gt;0,"Bayar Sebagian","Belum Bayar"))))</f>
        <v/>
      </c>
      <c r="L121" s="39" t="n">
        <f aca="true">IF(OR($H121="",$G121=""),0,IF($J121&lt;=0,0,TODAY()-$G121))</f>
        <v>0</v>
      </c>
      <c r="M121" s="38" t="str">
        <f aca="false">IF($H121="","",IF($J121&lt;0,"Lebih Bayar",IF($J121=0,"Lunas",IF($L121&lt;=0,"Belum Jatuh Tempo",IF($L121&lt;=30,"1-30 hari",IF($L121&lt;=60,"31-60 hari",IF($L121&lt;=90,"61-90 hari","Lebih dari 90 hari")))))))</f>
        <v/>
      </c>
      <c r="N121" s="18" t="str">
        <f aca="false">IF($H121="","",IF($L121&lt;=0,"",$L121*1000000+ROW()))</f>
        <v/>
      </c>
    </row>
    <row r="122" customFormat="false" ht="15" hidden="false" customHeight="true" outlineLevel="0" collapsed="false">
      <c r="A122" s="18" t="str">
        <f aca="false">IF($C122="","",COUNTA($C$8:$C122))</f>
        <v/>
      </c>
      <c r="B122" s="40"/>
      <c r="C122" s="41"/>
      <c r="D122" s="19"/>
      <c r="E122" s="19"/>
      <c r="F122" s="42"/>
      <c r="G122" s="35" t="str">
        <f aca="false">IF(OR($B122="",$F122=""),"",$B122+$F122)</f>
        <v/>
      </c>
      <c r="H122" s="43"/>
      <c r="I122" s="43"/>
      <c r="J122" s="37" t="n">
        <f aca="false">IF($H122="",0,$H122-N($I122))</f>
        <v>0</v>
      </c>
      <c r="K122" s="38" t="str">
        <f aca="false">IF($H122="","",IF($J122&lt;0,"Lebih Bayar",IF($J122=0,"Lunas",IF(N($I122)&gt;0,"Bayar Sebagian","Belum Bayar"))))</f>
        <v/>
      </c>
      <c r="L122" s="39" t="n">
        <f aca="true">IF(OR($H122="",$G122=""),0,IF($J122&lt;=0,0,TODAY()-$G122))</f>
        <v>0</v>
      </c>
      <c r="M122" s="38" t="str">
        <f aca="false">IF($H122="","",IF($J122&lt;0,"Lebih Bayar",IF($J122=0,"Lunas",IF($L122&lt;=0,"Belum Jatuh Tempo",IF($L122&lt;=30,"1-30 hari",IF($L122&lt;=60,"31-60 hari",IF($L122&lt;=90,"61-90 hari","Lebih dari 90 hari")))))))</f>
        <v/>
      </c>
      <c r="N122" s="18" t="str">
        <f aca="false">IF($H122="","",IF($L122&lt;=0,"",$L122*1000000+ROW()))</f>
        <v/>
      </c>
    </row>
    <row r="123" customFormat="false" ht="15" hidden="false" customHeight="true" outlineLevel="0" collapsed="false">
      <c r="A123" s="18" t="str">
        <f aca="false">IF($C123="","",COUNTA($C$8:$C123))</f>
        <v/>
      </c>
      <c r="B123" s="44"/>
      <c r="C123" s="45"/>
      <c r="D123" s="46"/>
      <c r="E123" s="46"/>
      <c r="F123" s="47"/>
      <c r="G123" s="35" t="str">
        <f aca="false">IF(OR($B123="",$F123=""),"",$B123+$F123)</f>
        <v/>
      </c>
      <c r="H123" s="48"/>
      <c r="I123" s="48"/>
      <c r="J123" s="37" t="n">
        <f aca="false">IF($H123="",0,$H123-N($I123))</f>
        <v>0</v>
      </c>
      <c r="K123" s="38" t="str">
        <f aca="false">IF($H123="","",IF($J123&lt;0,"Lebih Bayar",IF($J123=0,"Lunas",IF(N($I123)&gt;0,"Bayar Sebagian","Belum Bayar"))))</f>
        <v/>
      </c>
      <c r="L123" s="39" t="n">
        <f aca="true">IF(OR($H123="",$G123=""),0,IF($J123&lt;=0,0,TODAY()-$G123))</f>
        <v>0</v>
      </c>
      <c r="M123" s="38" t="str">
        <f aca="false">IF($H123="","",IF($J123&lt;0,"Lebih Bayar",IF($J123=0,"Lunas",IF($L123&lt;=0,"Belum Jatuh Tempo",IF($L123&lt;=30,"1-30 hari",IF($L123&lt;=60,"31-60 hari",IF($L123&lt;=90,"61-90 hari","Lebih dari 90 hari")))))))</f>
        <v/>
      </c>
      <c r="N123" s="18" t="str">
        <f aca="false">IF($H123="","",IF($L123&lt;=0,"",$L123*1000000+ROW()))</f>
        <v/>
      </c>
    </row>
    <row r="124" customFormat="false" ht="15" hidden="false" customHeight="true" outlineLevel="0" collapsed="false">
      <c r="A124" s="18" t="str">
        <f aca="false">IF($C124="","",COUNTA($C$8:$C124))</f>
        <v/>
      </c>
      <c r="B124" s="40"/>
      <c r="C124" s="41"/>
      <c r="D124" s="19"/>
      <c r="E124" s="19"/>
      <c r="F124" s="42"/>
      <c r="G124" s="35" t="str">
        <f aca="false">IF(OR($B124="",$F124=""),"",$B124+$F124)</f>
        <v/>
      </c>
      <c r="H124" s="43"/>
      <c r="I124" s="43"/>
      <c r="J124" s="37" t="n">
        <f aca="false">IF($H124="",0,$H124-N($I124))</f>
        <v>0</v>
      </c>
      <c r="K124" s="38" t="str">
        <f aca="false">IF($H124="","",IF($J124&lt;0,"Lebih Bayar",IF($J124=0,"Lunas",IF(N($I124)&gt;0,"Bayar Sebagian","Belum Bayar"))))</f>
        <v/>
      </c>
      <c r="L124" s="39" t="n">
        <f aca="true">IF(OR($H124="",$G124=""),0,IF($J124&lt;=0,0,TODAY()-$G124))</f>
        <v>0</v>
      </c>
      <c r="M124" s="38" t="str">
        <f aca="false">IF($H124="","",IF($J124&lt;0,"Lebih Bayar",IF($J124=0,"Lunas",IF($L124&lt;=0,"Belum Jatuh Tempo",IF($L124&lt;=30,"1-30 hari",IF($L124&lt;=60,"31-60 hari",IF($L124&lt;=90,"61-90 hari","Lebih dari 90 hari")))))))</f>
        <v/>
      </c>
      <c r="N124" s="18" t="str">
        <f aca="false">IF($H124="","",IF($L124&lt;=0,"",$L124*1000000+ROW()))</f>
        <v/>
      </c>
    </row>
    <row r="125" customFormat="false" ht="15" hidden="false" customHeight="true" outlineLevel="0" collapsed="false">
      <c r="A125" s="18" t="str">
        <f aca="false">IF($C125="","",COUNTA($C$8:$C125))</f>
        <v/>
      </c>
      <c r="B125" s="44"/>
      <c r="C125" s="45"/>
      <c r="D125" s="46"/>
      <c r="E125" s="46"/>
      <c r="F125" s="47"/>
      <c r="G125" s="35" t="str">
        <f aca="false">IF(OR($B125="",$F125=""),"",$B125+$F125)</f>
        <v/>
      </c>
      <c r="H125" s="48"/>
      <c r="I125" s="48"/>
      <c r="J125" s="37" t="n">
        <f aca="false">IF($H125="",0,$H125-N($I125))</f>
        <v>0</v>
      </c>
      <c r="K125" s="38" t="str">
        <f aca="false">IF($H125="","",IF($J125&lt;0,"Lebih Bayar",IF($J125=0,"Lunas",IF(N($I125)&gt;0,"Bayar Sebagian","Belum Bayar"))))</f>
        <v/>
      </c>
      <c r="L125" s="39" t="n">
        <f aca="true">IF(OR($H125="",$G125=""),0,IF($J125&lt;=0,0,TODAY()-$G125))</f>
        <v>0</v>
      </c>
      <c r="M125" s="38" t="str">
        <f aca="false">IF($H125="","",IF($J125&lt;0,"Lebih Bayar",IF($J125=0,"Lunas",IF($L125&lt;=0,"Belum Jatuh Tempo",IF($L125&lt;=30,"1-30 hari",IF($L125&lt;=60,"31-60 hari",IF($L125&lt;=90,"61-90 hari","Lebih dari 90 hari")))))))</f>
        <v/>
      </c>
      <c r="N125" s="18" t="str">
        <f aca="false">IF($H125="","",IF($L125&lt;=0,"",$L125*1000000+ROW()))</f>
        <v/>
      </c>
    </row>
    <row r="126" customFormat="false" ht="15" hidden="false" customHeight="true" outlineLevel="0" collapsed="false">
      <c r="A126" s="18" t="str">
        <f aca="false">IF($C126="","",COUNTA($C$8:$C126))</f>
        <v/>
      </c>
      <c r="B126" s="40"/>
      <c r="C126" s="41"/>
      <c r="D126" s="19"/>
      <c r="E126" s="19"/>
      <c r="F126" s="42"/>
      <c r="G126" s="35" t="str">
        <f aca="false">IF(OR($B126="",$F126=""),"",$B126+$F126)</f>
        <v/>
      </c>
      <c r="H126" s="43"/>
      <c r="I126" s="43"/>
      <c r="J126" s="37" t="n">
        <f aca="false">IF($H126="",0,$H126-N($I126))</f>
        <v>0</v>
      </c>
      <c r="K126" s="38" t="str">
        <f aca="false">IF($H126="","",IF($J126&lt;0,"Lebih Bayar",IF($J126=0,"Lunas",IF(N($I126)&gt;0,"Bayar Sebagian","Belum Bayar"))))</f>
        <v/>
      </c>
      <c r="L126" s="39" t="n">
        <f aca="true">IF(OR($H126="",$G126=""),0,IF($J126&lt;=0,0,TODAY()-$G126))</f>
        <v>0</v>
      </c>
      <c r="M126" s="38" t="str">
        <f aca="false">IF($H126="","",IF($J126&lt;0,"Lebih Bayar",IF($J126=0,"Lunas",IF($L126&lt;=0,"Belum Jatuh Tempo",IF($L126&lt;=30,"1-30 hari",IF($L126&lt;=60,"31-60 hari",IF($L126&lt;=90,"61-90 hari","Lebih dari 90 hari")))))))</f>
        <v/>
      </c>
      <c r="N126" s="18" t="str">
        <f aca="false">IF($H126="","",IF($L126&lt;=0,"",$L126*1000000+ROW()))</f>
        <v/>
      </c>
    </row>
    <row r="127" customFormat="false" ht="15" hidden="false" customHeight="true" outlineLevel="0" collapsed="false">
      <c r="A127" s="18" t="str">
        <f aca="false">IF($C127="","",COUNTA($C$8:$C127))</f>
        <v/>
      </c>
      <c r="B127" s="44"/>
      <c r="C127" s="45"/>
      <c r="D127" s="46"/>
      <c r="E127" s="46"/>
      <c r="F127" s="47"/>
      <c r="G127" s="35" t="str">
        <f aca="false">IF(OR($B127="",$F127=""),"",$B127+$F127)</f>
        <v/>
      </c>
      <c r="H127" s="48"/>
      <c r="I127" s="48"/>
      <c r="J127" s="37" t="n">
        <f aca="false">IF($H127="",0,$H127-N($I127))</f>
        <v>0</v>
      </c>
      <c r="K127" s="38" t="str">
        <f aca="false">IF($H127="","",IF($J127&lt;0,"Lebih Bayar",IF($J127=0,"Lunas",IF(N($I127)&gt;0,"Bayar Sebagian","Belum Bayar"))))</f>
        <v/>
      </c>
      <c r="L127" s="39" t="n">
        <f aca="true">IF(OR($H127="",$G127=""),0,IF($J127&lt;=0,0,TODAY()-$G127))</f>
        <v>0</v>
      </c>
      <c r="M127" s="38" t="str">
        <f aca="false">IF($H127="","",IF($J127&lt;0,"Lebih Bayar",IF($J127=0,"Lunas",IF($L127&lt;=0,"Belum Jatuh Tempo",IF($L127&lt;=30,"1-30 hari",IF($L127&lt;=60,"31-60 hari",IF($L127&lt;=90,"61-90 hari","Lebih dari 90 hari")))))))</f>
        <v/>
      </c>
      <c r="N127" s="18" t="str">
        <f aca="false">IF($H127="","",IF($L127&lt;=0,"",$L127*1000000+ROW()))</f>
        <v/>
      </c>
    </row>
    <row r="128" customFormat="false" ht="15" hidden="false" customHeight="true" outlineLevel="0" collapsed="false">
      <c r="A128" s="18" t="str">
        <f aca="false">IF($C128="","",COUNTA($C$8:$C128))</f>
        <v/>
      </c>
      <c r="B128" s="40"/>
      <c r="C128" s="41"/>
      <c r="D128" s="19"/>
      <c r="E128" s="19"/>
      <c r="F128" s="42"/>
      <c r="G128" s="35" t="str">
        <f aca="false">IF(OR($B128="",$F128=""),"",$B128+$F128)</f>
        <v/>
      </c>
      <c r="H128" s="43"/>
      <c r="I128" s="43"/>
      <c r="J128" s="37" t="n">
        <f aca="false">IF($H128="",0,$H128-N($I128))</f>
        <v>0</v>
      </c>
      <c r="K128" s="38" t="str">
        <f aca="false">IF($H128="","",IF($J128&lt;0,"Lebih Bayar",IF($J128=0,"Lunas",IF(N($I128)&gt;0,"Bayar Sebagian","Belum Bayar"))))</f>
        <v/>
      </c>
      <c r="L128" s="39" t="n">
        <f aca="true">IF(OR($H128="",$G128=""),0,IF($J128&lt;=0,0,TODAY()-$G128))</f>
        <v>0</v>
      </c>
      <c r="M128" s="38" t="str">
        <f aca="false">IF($H128="","",IF($J128&lt;0,"Lebih Bayar",IF($J128=0,"Lunas",IF($L128&lt;=0,"Belum Jatuh Tempo",IF($L128&lt;=30,"1-30 hari",IF($L128&lt;=60,"31-60 hari",IF($L128&lt;=90,"61-90 hari","Lebih dari 90 hari")))))))</f>
        <v/>
      </c>
      <c r="N128" s="18" t="str">
        <f aca="false">IF($H128="","",IF($L128&lt;=0,"",$L128*1000000+ROW()))</f>
        <v/>
      </c>
    </row>
    <row r="129" customFormat="false" ht="15" hidden="false" customHeight="true" outlineLevel="0" collapsed="false">
      <c r="A129" s="18" t="str">
        <f aca="false">IF($C129="","",COUNTA($C$8:$C129))</f>
        <v/>
      </c>
      <c r="B129" s="44"/>
      <c r="C129" s="45"/>
      <c r="D129" s="46"/>
      <c r="E129" s="46"/>
      <c r="F129" s="47"/>
      <c r="G129" s="35" t="str">
        <f aca="false">IF(OR($B129="",$F129=""),"",$B129+$F129)</f>
        <v/>
      </c>
      <c r="H129" s="48"/>
      <c r="I129" s="48"/>
      <c r="J129" s="37" t="n">
        <f aca="false">IF($H129="",0,$H129-N($I129))</f>
        <v>0</v>
      </c>
      <c r="K129" s="38" t="str">
        <f aca="false">IF($H129="","",IF($J129&lt;0,"Lebih Bayar",IF($J129=0,"Lunas",IF(N($I129)&gt;0,"Bayar Sebagian","Belum Bayar"))))</f>
        <v/>
      </c>
      <c r="L129" s="39" t="n">
        <f aca="true">IF(OR($H129="",$G129=""),0,IF($J129&lt;=0,0,TODAY()-$G129))</f>
        <v>0</v>
      </c>
      <c r="M129" s="38" t="str">
        <f aca="false">IF($H129="","",IF($J129&lt;0,"Lebih Bayar",IF($J129=0,"Lunas",IF($L129&lt;=0,"Belum Jatuh Tempo",IF($L129&lt;=30,"1-30 hari",IF($L129&lt;=60,"31-60 hari",IF($L129&lt;=90,"61-90 hari","Lebih dari 90 hari")))))))</f>
        <v/>
      </c>
      <c r="N129" s="18" t="str">
        <f aca="false">IF($H129="","",IF($L129&lt;=0,"",$L129*1000000+ROW()))</f>
        <v/>
      </c>
    </row>
    <row r="130" customFormat="false" ht="15" hidden="false" customHeight="true" outlineLevel="0" collapsed="false">
      <c r="A130" s="18" t="str">
        <f aca="false">IF($C130="","",COUNTA($C$8:$C130))</f>
        <v/>
      </c>
      <c r="B130" s="40"/>
      <c r="C130" s="41"/>
      <c r="D130" s="19"/>
      <c r="E130" s="19"/>
      <c r="F130" s="42"/>
      <c r="G130" s="35" t="str">
        <f aca="false">IF(OR($B130="",$F130=""),"",$B130+$F130)</f>
        <v/>
      </c>
      <c r="H130" s="43"/>
      <c r="I130" s="43"/>
      <c r="J130" s="37" t="n">
        <f aca="false">IF($H130="",0,$H130-N($I130))</f>
        <v>0</v>
      </c>
      <c r="K130" s="38" t="str">
        <f aca="false">IF($H130="","",IF($J130&lt;0,"Lebih Bayar",IF($J130=0,"Lunas",IF(N($I130)&gt;0,"Bayar Sebagian","Belum Bayar"))))</f>
        <v/>
      </c>
      <c r="L130" s="39" t="n">
        <f aca="true">IF(OR($H130="",$G130=""),0,IF($J130&lt;=0,0,TODAY()-$G130))</f>
        <v>0</v>
      </c>
      <c r="M130" s="38" t="str">
        <f aca="false">IF($H130="","",IF($J130&lt;0,"Lebih Bayar",IF($J130=0,"Lunas",IF($L130&lt;=0,"Belum Jatuh Tempo",IF($L130&lt;=30,"1-30 hari",IF($L130&lt;=60,"31-60 hari",IF($L130&lt;=90,"61-90 hari","Lebih dari 90 hari")))))))</f>
        <v/>
      </c>
      <c r="N130" s="18" t="str">
        <f aca="false">IF($H130="","",IF($L130&lt;=0,"",$L130*1000000+ROW()))</f>
        <v/>
      </c>
    </row>
    <row r="131" customFormat="false" ht="15" hidden="false" customHeight="true" outlineLevel="0" collapsed="false">
      <c r="A131" s="18" t="str">
        <f aca="false">IF($C131="","",COUNTA($C$8:$C131))</f>
        <v/>
      </c>
      <c r="B131" s="44"/>
      <c r="C131" s="45"/>
      <c r="D131" s="46"/>
      <c r="E131" s="46"/>
      <c r="F131" s="47"/>
      <c r="G131" s="35" t="str">
        <f aca="false">IF(OR($B131="",$F131=""),"",$B131+$F131)</f>
        <v/>
      </c>
      <c r="H131" s="48"/>
      <c r="I131" s="48"/>
      <c r="J131" s="37" t="n">
        <f aca="false">IF($H131="",0,$H131-N($I131))</f>
        <v>0</v>
      </c>
      <c r="K131" s="38" t="str">
        <f aca="false">IF($H131="","",IF($J131&lt;0,"Lebih Bayar",IF($J131=0,"Lunas",IF(N($I131)&gt;0,"Bayar Sebagian","Belum Bayar"))))</f>
        <v/>
      </c>
      <c r="L131" s="39" t="n">
        <f aca="true">IF(OR($H131="",$G131=""),0,IF($J131&lt;=0,0,TODAY()-$G131))</f>
        <v>0</v>
      </c>
      <c r="M131" s="38" t="str">
        <f aca="false">IF($H131="","",IF($J131&lt;0,"Lebih Bayar",IF($J131=0,"Lunas",IF($L131&lt;=0,"Belum Jatuh Tempo",IF($L131&lt;=30,"1-30 hari",IF($L131&lt;=60,"31-60 hari",IF($L131&lt;=90,"61-90 hari","Lebih dari 90 hari")))))))</f>
        <v/>
      </c>
      <c r="N131" s="18" t="str">
        <f aca="false">IF($H131="","",IF($L131&lt;=0,"",$L131*1000000+ROW()))</f>
        <v/>
      </c>
    </row>
    <row r="132" customFormat="false" ht="15" hidden="false" customHeight="true" outlineLevel="0" collapsed="false">
      <c r="A132" s="18" t="str">
        <f aca="false">IF($C132="","",COUNTA($C$8:$C132))</f>
        <v/>
      </c>
      <c r="B132" s="40"/>
      <c r="C132" s="41"/>
      <c r="D132" s="19"/>
      <c r="E132" s="19"/>
      <c r="F132" s="42"/>
      <c r="G132" s="35" t="str">
        <f aca="false">IF(OR($B132="",$F132=""),"",$B132+$F132)</f>
        <v/>
      </c>
      <c r="H132" s="43"/>
      <c r="I132" s="43"/>
      <c r="J132" s="37" t="n">
        <f aca="false">IF($H132="",0,$H132-N($I132))</f>
        <v>0</v>
      </c>
      <c r="K132" s="38" t="str">
        <f aca="false">IF($H132="","",IF($J132&lt;0,"Lebih Bayar",IF($J132=0,"Lunas",IF(N($I132)&gt;0,"Bayar Sebagian","Belum Bayar"))))</f>
        <v/>
      </c>
      <c r="L132" s="39" t="n">
        <f aca="true">IF(OR($H132="",$G132=""),0,IF($J132&lt;=0,0,TODAY()-$G132))</f>
        <v>0</v>
      </c>
      <c r="M132" s="38" t="str">
        <f aca="false">IF($H132="","",IF($J132&lt;0,"Lebih Bayar",IF($J132=0,"Lunas",IF($L132&lt;=0,"Belum Jatuh Tempo",IF($L132&lt;=30,"1-30 hari",IF($L132&lt;=60,"31-60 hari",IF($L132&lt;=90,"61-90 hari","Lebih dari 90 hari")))))))</f>
        <v/>
      </c>
      <c r="N132" s="18" t="str">
        <f aca="false">IF($H132="","",IF($L132&lt;=0,"",$L132*1000000+ROW()))</f>
        <v/>
      </c>
    </row>
    <row r="133" customFormat="false" ht="15" hidden="false" customHeight="true" outlineLevel="0" collapsed="false">
      <c r="A133" s="18" t="str">
        <f aca="false">IF($C133="","",COUNTA($C$8:$C133))</f>
        <v/>
      </c>
      <c r="B133" s="44"/>
      <c r="C133" s="45"/>
      <c r="D133" s="46"/>
      <c r="E133" s="46"/>
      <c r="F133" s="47"/>
      <c r="G133" s="35" t="str">
        <f aca="false">IF(OR($B133="",$F133=""),"",$B133+$F133)</f>
        <v/>
      </c>
      <c r="H133" s="48"/>
      <c r="I133" s="48"/>
      <c r="J133" s="37" t="n">
        <f aca="false">IF($H133="",0,$H133-N($I133))</f>
        <v>0</v>
      </c>
      <c r="K133" s="38" t="str">
        <f aca="false">IF($H133="","",IF($J133&lt;0,"Lebih Bayar",IF($J133=0,"Lunas",IF(N($I133)&gt;0,"Bayar Sebagian","Belum Bayar"))))</f>
        <v/>
      </c>
      <c r="L133" s="39" t="n">
        <f aca="true">IF(OR($H133="",$G133=""),0,IF($J133&lt;=0,0,TODAY()-$G133))</f>
        <v>0</v>
      </c>
      <c r="M133" s="38" t="str">
        <f aca="false">IF($H133="","",IF($J133&lt;0,"Lebih Bayar",IF($J133=0,"Lunas",IF($L133&lt;=0,"Belum Jatuh Tempo",IF($L133&lt;=30,"1-30 hari",IF($L133&lt;=60,"31-60 hari",IF($L133&lt;=90,"61-90 hari","Lebih dari 90 hari")))))))</f>
        <v/>
      </c>
      <c r="N133" s="18" t="str">
        <f aca="false">IF($H133="","",IF($L133&lt;=0,"",$L133*1000000+ROW()))</f>
        <v/>
      </c>
    </row>
    <row r="134" customFormat="false" ht="15" hidden="false" customHeight="true" outlineLevel="0" collapsed="false">
      <c r="A134" s="18" t="str">
        <f aca="false">IF($C134="","",COUNTA($C$8:$C134))</f>
        <v/>
      </c>
      <c r="B134" s="40"/>
      <c r="C134" s="41"/>
      <c r="D134" s="19"/>
      <c r="E134" s="19"/>
      <c r="F134" s="42"/>
      <c r="G134" s="35" t="str">
        <f aca="false">IF(OR($B134="",$F134=""),"",$B134+$F134)</f>
        <v/>
      </c>
      <c r="H134" s="43"/>
      <c r="I134" s="43"/>
      <c r="J134" s="37" t="n">
        <f aca="false">IF($H134="",0,$H134-N($I134))</f>
        <v>0</v>
      </c>
      <c r="K134" s="38" t="str">
        <f aca="false">IF($H134="","",IF($J134&lt;0,"Lebih Bayar",IF($J134=0,"Lunas",IF(N($I134)&gt;0,"Bayar Sebagian","Belum Bayar"))))</f>
        <v/>
      </c>
      <c r="L134" s="39" t="n">
        <f aca="true">IF(OR($H134="",$G134=""),0,IF($J134&lt;=0,0,TODAY()-$G134))</f>
        <v>0</v>
      </c>
      <c r="M134" s="38" t="str">
        <f aca="false">IF($H134="","",IF($J134&lt;0,"Lebih Bayar",IF($J134=0,"Lunas",IF($L134&lt;=0,"Belum Jatuh Tempo",IF($L134&lt;=30,"1-30 hari",IF($L134&lt;=60,"31-60 hari",IF($L134&lt;=90,"61-90 hari","Lebih dari 90 hari")))))))</f>
        <v/>
      </c>
      <c r="N134" s="18" t="str">
        <f aca="false">IF($H134="","",IF($L134&lt;=0,"",$L134*1000000+ROW()))</f>
        <v/>
      </c>
    </row>
    <row r="135" customFormat="false" ht="15" hidden="false" customHeight="true" outlineLevel="0" collapsed="false">
      <c r="A135" s="18" t="str">
        <f aca="false">IF($C135="","",COUNTA($C$8:$C135))</f>
        <v/>
      </c>
      <c r="B135" s="44"/>
      <c r="C135" s="45"/>
      <c r="D135" s="46"/>
      <c r="E135" s="46"/>
      <c r="F135" s="47"/>
      <c r="G135" s="35" t="str">
        <f aca="false">IF(OR($B135="",$F135=""),"",$B135+$F135)</f>
        <v/>
      </c>
      <c r="H135" s="48"/>
      <c r="I135" s="48"/>
      <c r="J135" s="37" t="n">
        <f aca="false">IF($H135="",0,$H135-N($I135))</f>
        <v>0</v>
      </c>
      <c r="K135" s="38" t="str">
        <f aca="false">IF($H135="","",IF($J135&lt;0,"Lebih Bayar",IF($J135=0,"Lunas",IF(N($I135)&gt;0,"Bayar Sebagian","Belum Bayar"))))</f>
        <v/>
      </c>
      <c r="L135" s="39" t="n">
        <f aca="true">IF(OR($H135="",$G135=""),0,IF($J135&lt;=0,0,TODAY()-$G135))</f>
        <v>0</v>
      </c>
      <c r="M135" s="38" t="str">
        <f aca="false">IF($H135="","",IF($J135&lt;0,"Lebih Bayar",IF($J135=0,"Lunas",IF($L135&lt;=0,"Belum Jatuh Tempo",IF($L135&lt;=30,"1-30 hari",IF($L135&lt;=60,"31-60 hari",IF($L135&lt;=90,"61-90 hari","Lebih dari 90 hari")))))))</f>
        <v/>
      </c>
      <c r="N135" s="18" t="str">
        <f aca="false">IF($H135="","",IF($L135&lt;=0,"",$L135*1000000+ROW()))</f>
        <v/>
      </c>
    </row>
    <row r="136" customFormat="false" ht="15" hidden="false" customHeight="true" outlineLevel="0" collapsed="false">
      <c r="A136" s="18" t="str">
        <f aca="false">IF($C136="","",COUNTA($C$8:$C136))</f>
        <v/>
      </c>
      <c r="B136" s="40"/>
      <c r="C136" s="41"/>
      <c r="D136" s="19"/>
      <c r="E136" s="19"/>
      <c r="F136" s="42"/>
      <c r="G136" s="35" t="str">
        <f aca="false">IF(OR($B136="",$F136=""),"",$B136+$F136)</f>
        <v/>
      </c>
      <c r="H136" s="43"/>
      <c r="I136" s="43"/>
      <c r="J136" s="37" t="n">
        <f aca="false">IF($H136="",0,$H136-N($I136))</f>
        <v>0</v>
      </c>
      <c r="K136" s="38" t="str">
        <f aca="false">IF($H136="","",IF($J136&lt;0,"Lebih Bayar",IF($J136=0,"Lunas",IF(N($I136)&gt;0,"Bayar Sebagian","Belum Bayar"))))</f>
        <v/>
      </c>
      <c r="L136" s="39" t="n">
        <f aca="true">IF(OR($H136="",$G136=""),0,IF($J136&lt;=0,0,TODAY()-$G136))</f>
        <v>0</v>
      </c>
      <c r="M136" s="38" t="str">
        <f aca="false">IF($H136="","",IF($J136&lt;0,"Lebih Bayar",IF($J136=0,"Lunas",IF($L136&lt;=0,"Belum Jatuh Tempo",IF($L136&lt;=30,"1-30 hari",IF($L136&lt;=60,"31-60 hari",IF($L136&lt;=90,"61-90 hari","Lebih dari 90 hari")))))))</f>
        <v/>
      </c>
      <c r="N136" s="18" t="str">
        <f aca="false">IF($H136="","",IF($L136&lt;=0,"",$L136*1000000+ROW()))</f>
        <v/>
      </c>
    </row>
    <row r="137" customFormat="false" ht="15" hidden="false" customHeight="true" outlineLevel="0" collapsed="false">
      <c r="A137" s="18" t="str">
        <f aca="false">IF($C137="","",COUNTA($C$8:$C137))</f>
        <v/>
      </c>
      <c r="B137" s="44"/>
      <c r="C137" s="45"/>
      <c r="D137" s="46"/>
      <c r="E137" s="46"/>
      <c r="F137" s="47"/>
      <c r="G137" s="35" t="str">
        <f aca="false">IF(OR($B137="",$F137=""),"",$B137+$F137)</f>
        <v/>
      </c>
      <c r="H137" s="48"/>
      <c r="I137" s="48"/>
      <c r="J137" s="37" t="n">
        <f aca="false">IF($H137="",0,$H137-N($I137))</f>
        <v>0</v>
      </c>
      <c r="K137" s="38" t="str">
        <f aca="false">IF($H137="","",IF($J137&lt;0,"Lebih Bayar",IF($J137=0,"Lunas",IF(N($I137)&gt;0,"Bayar Sebagian","Belum Bayar"))))</f>
        <v/>
      </c>
      <c r="L137" s="39" t="n">
        <f aca="true">IF(OR($H137="",$G137=""),0,IF($J137&lt;=0,0,TODAY()-$G137))</f>
        <v>0</v>
      </c>
      <c r="M137" s="38" t="str">
        <f aca="false">IF($H137="","",IF($J137&lt;0,"Lebih Bayar",IF($J137=0,"Lunas",IF($L137&lt;=0,"Belum Jatuh Tempo",IF($L137&lt;=30,"1-30 hari",IF($L137&lt;=60,"31-60 hari",IF($L137&lt;=90,"61-90 hari","Lebih dari 90 hari")))))))</f>
        <v/>
      </c>
      <c r="N137" s="18" t="str">
        <f aca="false">IF($H137="","",IF($L137&lt;=0,"",$L137*1000000+ROW()))</f>
        <v/>
      </c>
    </row>
    <row r="138" customFormat="false" ht="15" hidden="false" customHeight="true" outlineLevel="0" collapsed="false">
      <c r="A138" s="18" t="str">
        <f aca="false">IF($C138="","",COUNTA($C$8:$C138))</f>
        <v/>
      </c>
      <c r="B138" s="40"/>
      <c r="C138" s="41"/>
      <c r="D138" s="19"/>
      <c r="E138" s="19"/>
      <c r="F138" s="42"/>
      <c r="G138" s="35" t="str">
        <f aca="false">IF(OR($B138="",$F138=""),"",$B138+$F138)</f>
        <v/>
      </c>
      <c r="H138" s="43"/>
      <c r="I138" s="43"/>
      <c r="J138" s="37" t="n">
        <f aca="false">IF($H138="",0,$H138-N($I138))</f>
        <v>0</v>
      </c>
      <c r="K138" s="38" t="str">
        <f aca="false">IF($H138="","",IF($J138&lt;0,"Lebih Bayar",IF($J138=0,"Lunas",IF(N($I138)&gt;0,"Bayar Sebagian","Belum Bayar"))))</f>
        <v/>
      </c>
      <c r="L138" s="39" t="n">
        <f aca="true">IF(OR($H138="",$G138=""),0,IF($J138&lt;=0,0,TODAY()-$G138))</f>
        <v>0</v>
      </c>
      <c r="M138" s="38" t="str">
        <f aca="false">IF($H138="","",IF($J138&lt;0,"Lebih Bayar",IF($J138=0,"Lunas",IF($L138&lt;=0,"Belum Jatuh Tempo",IF($L138&lt;=30,"1-30 hari",IF($L138&lt;=60,"31-60 hari",IF($L138&lt;=90,"61-90 hari","Lebih dari 90 hari")))))))</f>
        <v/>
      </c>
      <c r="N138" s="18" t="str">
        <f aca="false">IF($H138="","",IF($L138&lt;=0,"",$L138*1000000+ROW()))</f>
        <v/>
      </c>
    </row>
    <row r="139" customFormat="false" ht="15" hidden="false" customHeight="true" outlineLevel="0" collapsed="false">
      <c r="A139" s="18" t="str">
        <f aca="false">IF($C139="","",COUNTA($C$8:$C139))</f>
        <v/>
      </c>
      <c r="B139" s="44"/>
      <c r="C139" s="45"/>
      <c r="D139" s="46"/>
      <c r="E139" s="46"/>
      <c r="F139" s="47"/>
      <c r="G139" s="35" t="str">
        <f aca="false">IF(OR($B139="",$F139=""),"",$B139+$F139)</f>
        <v/>
      </c>
      <c r="H139" s="48"/>
      <c r="I139" s="48"/>
      <c r="J139" s="37" t="n">
        <f aca="false">IF($H139="",0,$H139-N($I139))</f>
        <v>0</v>
      </c>
      <c r="K139" s="38" t="str">
        <f aca="false">IF($H139="","",IF($J139&lt;0,"Lebih Bayar",IF($J139=0,"Lunas",IF(N($I139)&gt;0,"Bayar Sebagian","Belum Bayar"))))</f>
        <v/>
      </c>
      <c r="L139" s="39" t="n">
        <f aca="true">IF(OR($H139="",$G139=""),0,IF($J139&lt;=0,0,TODAY()-$G139))</f>
        <v>0</v>
      </c>
      <c r="M139" s="38" t="str">
        <f aca="false">IF($H139="","",IF($J139&lt;0,"Lebih Bayar",IF($J139=0,"Lunas",IF($L139&lt;=0,"Belum Jatuh Tempo",IF($L139&lt;=30,"1-30 hari",IF($L139&lt;=60,"31-60 hari",IF($L139&lt;=90,"61-90 hari","Lebih dari 90 hari")))))))</f>
        <v/>
      </c>
      <c r="N139" s="18" t="str">
        <f aca="false">IF($H139="","",IF($L139&lt;=0,"",$L139*1000000+ROW()))</f>
        <v/>
      </c>
    </row>
    <row r="140" customFormat="false" ht="15" hidden="false" customHeight="true" outlineLevel="0" collapsed="false">
      <c r="A140" s="18" t="str">
        <f aca="false">IF($C140="","",COUNTA($C$8:$C140))</f>
        <v/>
      </c>
      <c r="B140" s="40"/>
      <c r="C140" s="41"/>
      <c r="D140" s="19"/>
      <c r="E140" s="19"/>
      <c r="F140" s="42"/>
      <c r="G140" s="35" t="str">
        <f aca="false">IF(OR($B140="",$F140=""),"",$B140+$F140)</f>
        <v/>
      </c>
      <c r="H140" s="43"/>
      <c r="I140" s="43"/>
      <c r="J140" s="37" t="n">
        <f aca="false">IF($H140="",0,$H140-N($I140))</f>
        <v>0</v>
      </c>
      <c r="K140" s="38" t="str">
        <f aca="false">IF($H140="","",IF($J140&lt;0,"Lebih Bayar",IF($J140=0,"Lunas",IF(N($I140)&gt;0,"Bayar Sebagian","Belum Bayar"))))</f>
        <v/>
      </c>
      <c r="L140" s="39" t="n">
        <f aca="true">IF(OR($H140="",$G140=""),0,IF($J140&lt;=0,0,TODAY()-$G140))</f>
        <v>0</v>
      </c>
      <c r="M140" s="38" t="str">
        <f aca="false">IF($H140="","",IF($J140&lt;0,"Lebih Bayar",IF($J140=0,"Lunas",IF($L140&lt;=0,"Belum Jatuh Tempo",IF($L140&lt;=30,"1-30 hari",IF($L140&lt;=60,"31-60 hari",IF($L140&lt;=90,"61-90 hari","Lebih dari 90 hari")))))))</f>
        <v/>
      </c>
      <c r="N140" s="18" t="str">
        <f aca="false">IF($H140="","",IF($L140&lt;=0,"",$L140*1000000+ROW()))</f>
        <v/>
      </c>
    </row>
    <row r="141" customFormat="false" ht="15" hidden="false" customHeight="true" outlineLevel="0" collapsed="false">
      <c r="A141" s="18" t="str">
        <f aca="false">IF($C141="","",COUNTA($C$8:$C141))</f>
        <v/>
      </c>
      <c r="B141" s="44"/>
      <c r="C141" s="45"/>
      <c r="D141" s="46"/>
      <c r="E141" s="46"/>
      <c r="F141" s="47"/>
      <c r="G141" s="35" t="str">
        <f aca="false">IF(OR($B141="",$F141=""),"",$B141+$F141)</f>
        <v/>
      </c>
      <c r="H141" s="48"/>
      <c r="I141" s="48"/>
      <c r="J141" s="37" t="n">
        <f aca="false">IF($H141="",0,$H141-N($I141))</f>
        <v>0</v>
      </c>
      <c r="K141" s="38" t="str">
        <f aca="false">IF($H141="","",IF($J141&lt;0,"Lebih Bayar",IF($J141=0,"Lunas",IF(N($I141)&gt;0,"Bayar Sebagian","Belum Bayar"))))</f>
        <v/>
      </c>
      <c r="L141" s="39" t="n">
        <f aca="true">IF(OR($H141="",$G141=""),0,IF($J141&lt;=0,0,TODAY()-$G141))</f>
        <v>0</v>
      </c>
      <c r="M141" s="38" t="str">
        <f aca="false">IF($H141="","",IF($J141&lt;0,"Lebih Bayar",IF($J141=0,"Lunas",IF($L141&lt;=0,"Belum Jatuh Tempo",IF($L141&lt;=30,"1-30 hari",IF($L141&lt;=60,"31-60 hari",IF($L141&lt;=90,"61-90 hari","Lebih dari 90 hari")))))))</f>
        <v/>
      </c>
      <c r="N141" s="18" t="str">
        <f aca="false">IF($H141="","",IF($L141&lt;=0,"",$L141*1000000+ROW()))</f>
        <v/>
      </c>
    </row>
    <row r="142" customFormat="false" ht="15" hidden="false" customHeight="true" outlineLevel="0" collapsed="false">
      <c r="A142" s="18" t="str">
        <f aca="false">IF($C142="","",COUNTA($C$8:$C142))</f>
        <v/>
      </c>
      <c r="B142" s="40"/>
      <c r="C142" s="41"/>
      <c r="D142" s="19"/>
      <c r="E142" s="19"/>
      <c r="F142" s="42"/>
      <c r="G142" s="35" t="str">
        <f aca="false">IF(OR($B142="",$F142=""),"",$B142+$F142)</f>
        <v/>
      </c>
      <c r="H142" s="43"/>
      <c r="I142" s="43"/>
      <c r="J142" s="37" t="n">
        <f aca="false">IF($H142="",0,$H142-N($I142))</f>
        <v>0</v>
      </c>
      <c r="K142" s="38" t="str">
        <f aca="false">IF($H142="","",IF($J142&lt;0,"Lebih Bayar",IF($J142=0,"Lunas",IF(N($I142)&gt;0,"Bayar Sebagian","Belum Bayar"))))</f>
        <v/>
      </c>
      <c r="L142" s="39" t="n">
        <f aca="true">IF(OR($H142="",$G142=""),0,IF($J142&lt;=0,0,TODAY()-$G142))</f>
        <v>0</v>
      </c>
      <c r="M142" s="38" t="str">
        <f aca="false">IF($H142="","",IF($J142&lt;0,"Lebih Bayar",IF($J142=0,"Lunas",IF($L142&lt;=0,"Belum Jatuh Tempo",IF($L142&lt;=30,"1-30 hari",IF($L142&lt;=60,"31-60 hari",IF($L142&lt;=90,"61-90 hari","Lebih dari 90 hari")))))))</f>
        <v/>
      </c>
      <c r="N142" s="18" t="str">
        <f aca="false">IF($H142="","",IF($L142&lt;=0,"",$L142*1000000+ROW()))</f>
        <v/>
      </c>
    </row>
    <row r="143" customFormat="false" ht="15" hidden="false" customHeight="true" outlineLevel="0" collapsed="false">
      <c r="A143" s="18" t="str">
        <f aca="false">IF($C143="","",COUNTA($C$8:$C143))</f>
        <v/>
      </c>
      <c r="B143" s="44"/>
      <c r="C143" s="45"/>
      <c r="D143" s="46"/>
      <c r="E143" s="46"/>
      <c r="F143" s="47"/>
      <c r="G143" s="35" t="str">
        <f aca="false">IF(OR($B143="",$F143=""),"",$B143+$F143)</f>
        <v/>
      </c>
      <c r="H143" s="48"/>
      <c r="I143" s="48"/>
      <c r="J143" s="37" t="n">
        <f aca="false">IF($H143="",0,$H143-N($I143))</f>
        <v>0</v>
      </c>
      <c r="K143" s="38" t="str">
        <f aca="false">IF($H143="","",IF($J143&lt;0,"Lebih Bayar",IF($J143=0,"Lunas",IF(N($I143)&gt;0,"Bayar Sebagian","Belum Bayar"))))</f>
        <v/>
      </c>
      <c r="L143" s="39" t="n">
        <f aca="true">IF(OR($H143="",$G143=""),0,IF($J143&lt;=0,0,TODAY()-$G143))</f>
        <v>0</v>
      </c>
      <c r="M143" s="38" t="str">
        <f aca="false">IF($H143="","",IF($J143&lt;0,"Lebih Bayar",IF($J143=0,"Lunas",IF($L143&lt;=0,"Belum Jatuh Tempo",IF($L143&lt;=30,"1-30 hari",IF($L143&lt;=60,"31-60 hari",IF($L143&lt;=90,"61-90 hari","Lebih dari 90 hari")))))))</f>
        <v/>
      </c>
      <c r="N143" s="18" t="str">
        <f aca="false">IF($H143="","",IF($L143&lt;=0,"",$L143*1000000+ROW()))</f>
        <v/>
      </c>
    </row>
    <row r="144" customFormat="false" ht="15" hidden="false" customHeight="true" outlineLevel="0" collapsed="false">
      <c r="A144" s="18" t="str">
        <f aca="false">IF($C144="","",COUNTA($C$8:$C144))</f>
        <v/>
      </c>
      <c r="B144" s="40"/>
      <c r="C144" s="41"/>
      <c r="D144" s="19"/>
      <c r="E144" s="19"/>
      <c r="F144" s="42"/>
      <c r="G144" s="35" t="str">
        <f aca="false">IF(OR($B144="",$F144=""),"",$B144+$F144)</f>
        <v/>
      </c>
      <c r="H144" s="43"/>
      <c r="I144" s="43"/>
      <c r="J144" s="37" t="n">
        <f aca="false">IF($H144="",0,$H144-N($I144))</f>
        <v>0</v>
      </c>
      <c r="K144" s="38" t="str">
        <f aca="false">IF($H144="","",IF($J144&lt;0,"Lebih Bayar",IF($J144=0,"Lunas",IF(N($I144)&gt;0,"Bayar Sebagian","Belum Bayar"))))</f>
        <v/>
      </c>
      <c r="L144" s="39" t="n">
        <f aca="true">IF(OR($H144="",$G144=""),0,IF($J144&lt;=0,0,TODAY()-$G144))</f>
        <v>0</v>
      </c>
      <c r="M144" s="38" t="str">
        <f aca="false">IF($H144="","",IF($J144&lt;0,"Lebih Bayar",IF($J144=0,"Lunas",IF($L144&lt;=0,"Belum Jatuh Tempo",IF($L144&lt;=30,"1-30 hari",IF($L144&lt;=60,"31-60 hari",IF($L144&lt;=90,"61-90 hari","Lebih dari 90 hari")))))))</f>
        <v/>
      </c>
      <c r="N144" s="18" t="str">
        <f aca="false">IF($H144="","",IF($L144&lt;=0,"",$L144*1000000+ROW()))</f>
        <v/>
      </c>
    </row>
    <row r="145" customFormat="false" ht="15" hidden="false" customHeight="true" outlineLevel="0" collapsed="false">
      <c r="A145" s="18" t="str">
        <f aca="false">IF($C145="","",COUNTA($C$8:$C145))</f>
        <v/>
      </c>
      <c r="B145" s="44"/>
      <c r="C145" s="45"/>
      <c r="D145" s="46"/>
      <c r="E145" s="46"/>
      <c r="F145" s="47"/>
      <c r="G145" s="35" t="str">
        <f aca="false">IF(OR($B145="",$F145=""),"",$B145+$F145)</f>
        <v/>
      </c>
      <c r="H145" s="48"/>
      <c r="I145" s="48"/>
      <c r="J145" s="37" t="n">
        <f aca="false">IF($H145="",0,$H145-N($I145))</f>
        <v>0</v>
      </c>
      <c r="K145" s="38" t="str">
        <f aca="false">IF($H145="","",IF($J145&lt;0,"Lebih Bayar",IF($J145=0,"Lunas",IF(N($I145)&gt;0,"Bayar Sebagian","Belum Bayar"))))</f>
        <v/>
      </c>
      <c r="L145" s="39" t="n">
        <f aca="true">IF(OR($H145="",$G145=""),0,IF($J145&lt;=0,0,TODAY()-$G145))</f>
        <v>0</v>
      </c>
      <c r="M145" s="38" t="str">
        <f aca="false">IF($H145="","",IF($J145&lt;0,"Lebih Bayar",IF($J145=0,"Lunas",IF($L145&lt;=0,"Belum Jatuh Tempo",IF($L145&lt;=30,"1-30 hari",IF($L145&lt;=60,"31-60 hari",IF($L145&lt;=90,"61-90 hari","Lebih dari 90 hari")))))))</f>
        <v/>
      </c>
      <c r="N145" s="18" t="str">
        <f aca="false">IF($H145="","",IF($L145&lt;=0,"",$L145*1000000+ROW()))</f>
        <v/>
      </c>
    </row>
    <row r="146" customFormat="false" ht="15" hidden="false" customHeight="true" outlineLevel="0" collapsed="false">
      <c r="A146" s="18" t="str">
        <f aca="false">IF($C146="","",COUNTA($C$8:$C146))</f>
        <v/>
      </c>
      <c r="B146" s="40"/>
      <c r="C146" s="41"/>
      <c r="D146" s="19"/>
      <c r="E146" s="19"/>
      <c r="F146" s="42"/>
      <c r="G146" s="35" t="str">
        <f aca="false">IF(OR($B146="",$F146=""),"",$B146+$F146)</f>
        <v/>
      </c>
      <c r="H146" s="43"/>
      <c r="I146" s="43"/>
      <c r="J146" s="37" t="n">
        <f aca="false">IF($H146="",0,$H146-N($I146))</f>
        <v>0</v>
      </c>
      <c r="K146" s="38" t="str">
        <f aca="false">IF($H146="","",IF($J146&lt;0,"Lebih Bayar",IF($J146=0,"Lunas",IF(N($I146)&gt;0,"Bayar Sebagian","Belum Bayar"))))</f>
        <v/>
      </c>
      <c r="L146" s="39" t="n">
        <f aca="true">IF(OR($H146="",$G146=""),0,IF($J146&lt;=0,0,TODAY()-$G146))</f>
        <v>0</v>
      </c>
      <c r="M146" s="38" t="str">
        <f aca="false">IF($H146="","",IF($J146&lt;0,"Lebih Bayar",IF($J146=0,"Lunas",IF($L146&lt;=0,"Belum Jatuh Tempo",IF($L146&lt;=30,"1-30 hari",IF($L146&lt;=60,"31-60 hari",IF($L146&lt;=90,"61-90 hari","Lebih dari 90 hari")))))))</f>
        <v/>
      </c>
      <c r="N146" s="18" t="str">
        <f aca="false">IF($H146="","",IF($L146&lt;=0,"",$L146*1000000+ROW()))</f>
        <v/>
      </c>
    </row>
    <row r="147" customFormat="false" ht="15" hidden="false" customHeight="true" outlineLevel="0" collapsed="false">
      <c r="A147" s="18" t="str">
        <f aca="false">IF($C147="","",COUNTA($C$8:$C147))</f>
        <v/>
      </c>
      <c r="B147" s="44"/>
      <c r="C147" s="45"/>
      <c r="D147" s="46"/>
      <c r="E147" s="46"/>
      <c r="F147" s="47"/>
      <c r="G147" s="35" t="str">
        <f aca="false">IF(OR($B147="",$F147=""),"",$B147+$F147)</f>
        <v/>
      </c>
      <c r="H147" s="48"/>
      <c r="I147" s="48"/>
      <c r="J147" s="37" t="n">
        <f aca="false">IF($H147="",0,$H147-N($I147))</f>
        <v>0</v>
      </c>
      <c r="K147" s="38" t="str">
        <f aca="false">IF($H147="","",IF($J147&lt;0,"Lebih Bayar",IF($J147=0,"Lunas",IF(N($I147)&gt;0,"Bayar Sebagian","Belum Bayar"))))</f>
        <v/>
      </c>
      <c r="L147" s="39" t="n">
        <f aca="true">IF(OR($H147="",$G147=""),0,IF($J147&lt;=0,0,TODAY()-$G147))</f>
        <v>0</v>
      </c>
      <c r="M147" s="38" t="str">
        <f aca="false">IF($H147="","",IF($J147&lt;0,"Lebih Bayar",IF($J147=0,"Lunas",IF($L147&lt;=0,"Belum Jatuh Tempo",IF($L147&lt;=30,"1-30 hari",IF($L147&lt;=60,"31-60 hari",IF($L147&lt;=90,"61-90 hari","Lebih dari 90 hari")))))))</f>
        <v/>
      </c>
      <c r="N147" s="18" t="str">
        <f aca="false">IF($H147="","",IF($L147&lt;=0,"",$L147*1000000+ROW()))</f>
        <v/>
      </c>
    </row>
    <row r="148" customFormat="false" ht="15" hidden="false" customHeight="true" outlineLevel="0" collapsed="false">
      <c r="A148" s="18" t="str">
        <f aca="false">IF($C148="","",COUNTA($C$8:$C148))</f>
        <v/>
      </c>
      <c r="B148" s="40"/>
      <c r="C148" s="41"/>
      <c r="D148" s="19"/>
      <c r="E148" s="19"/>
      <c r="F148" s="42"/>
      <c r="G148" s="35" t="str">
        <f aca="false">IF(OR($B148="",$F148=""),"",$B148+$F148)</f>
        <v/>
      </c>
      <c r="H148" s="43"/>
      <c r="I148" s="43"/>
      <c r="J148" s="37" t="n">
        <f aca="false">IF($H148="",0,$H148-N($I148))</f>
        <v>0</v>
      </c>
      <c r="K148" s="38" t="str">
        <f aca="false">IF($H148="","",IF($J148&lt;0,"Lebih Bayar",IF($J148=0,"Lunas",IF(N($I148)&gt;0,"Bayar Sebagian","Belum Bayar"))))</f>
        <v/>
      </c>
      <c r="L148" s="39" t="n">
        <f aca="true">IF(OR($H148="",$G148=""),0,IF($J148&lt;=0,0,TODAY()-$G148))</f>
        <v>0</v>
      </c>
      <c r="M148" s="38" t="str">
        <f aca="false">IF($H148="","",IF($J148&lt;0,"Lebih Bayar",IF($J148=0,"Lunas",IF($L148&lt;=0,"Belum Jatuh Tempo",IF($L148&lt;=30,"1-30 hari",IF($L148&lt;=60,"31-60 hari",IF($L148&lt;=90,"61-90 hari","Lebih dari 90 hari")))))))</f>
        <v/>
      </c>
      <c r="N148" s="18" t="str">
        <f aca="false">IF($H148="","",IF($L148&lt;=0,"",$L148*1000000+ROW()))</f>
        <v/>
      </c>
    </row>
    <row r="149" customFormat="false" ht="15" hidden="false" customHeight="true" outlineLevel="0" collapsed="false">
      <c r="A149" s="18" t="str">
        <f aca="false">IF($C149="","",COUNTA($C$8:$C149))</f>
        <v/>
      </c>
      <c r="B149" s="44"/>
      <c r="C149" s="45"/>
      <c r="D149" s="46"/>
      <c r="E149" s="46"/>
      <c r="F149" s="47"/>
      <c r="G149" s="35" t="str">
        <f aca="false">IF(OR($B149="",$F149=""),"",$B149+$F149)</f>
        <v/>
      </c>
      <c r="H149" s="48"/>
      <c r="I149" s="48"/>
      <c r="J149" s="37" t="n">
        <f aca="false">IF($H149="",0,$H149-N($I149))</f>
        <v>0</v>
      </c>
      <c r="K149" s="38" t="str">
        <f aca="false">IF($H149="","",IF($J149&lt;0,"Lebih Bayar",IF($J149=0,"Lunas",IF(N($I149)&gt;0,"Bayar Sebagian","Belum Bayar"))))</f>
        <v/>
      </c>
      <c r="L149" s="39" t="n">
        <f aca="true">IF(OR($H149="",$G149=""),0,IF($J149&lt;=0,0,TODAY()-$G149))</f>
        <v>0</v>
      </c>
      <c r="M149" s="38" t="str">
        <f aca="false">IF($H149="","",IF($J149&lt;0,"Lebih Bayar",IF($J149=0,"Lunas",IF($L149&lt;=0,"Belum Jatuh Tempo",IF($L149&lt;=30,"1-30 hari",IF($L149&lt;=60,"31-60 hari",IF($L149&lt;=90,"61-90 hari","Lebih dari 90 hari")))))))</f>
        <v/>
      </c>
      <c r="N149" s="18" t="str">
        <f aca="false">IF($H149="","",IF($L149&lt;=0,"",$L149*1000000+ROW()))</f>
        <v/>
      </c>
    </row>
    <row r="150" customFormat="false" ht="15" hidden="false" customHeight="true" outlineLevel="0" collapsed="false">
      <c r="A150" s="18" t="str">
        <f aca="false">IF($C150="","",COUNTA($C$8:$C150))</f>
        <v/>
      </c>
      <c r="B150" s="40"/>
      <c r="C150" s="41"/>
      <c r="D150" s="19"/>
      <c r="E150" s="19"/>
      <c r="F150" s="42"/>
      <c r="G150" s="35" t="str">
        <f aca="false">IF(OR($B150="",$F150=""),"",$B150+$F150)</f>
        <v/>
      </c>
      <c r="H150" s="43"/>
      <c r="I150" s="43"/>
      <c r="J150" s="37" t="n">
        <f aca="false">IF($H150="",0,$H150-N($I150))</f>
        <v>0</v>
      </c>
      <c r="K150" s="38" t="str">
        <f aca="false">IF($H150="","",IF($J150&lt;0,"Lebih Bayar",IF($J150=0,"Lunas",IF(N($I150)&gt;0,"Bayar Sebagian","Belum Bayar"))))</f>
        <v/>
      </c>
      <c r="L150" s="39" t="n">
        <f aca="true">IF(OR($H150="",$G150=""),0,IF($J150&lt;=0,0,TODAY()-$G150))</f>
        <v>0</v>
      </c>
      <c r="M150" s="38" t="str">
        <f aca="false">IF($H150="","",IF($J150&lt;0,"Lebih Bayar",IF($J150=0,"Lunas",IF($L150&lt;=0,"Belum Jatuh Tempo",IF($L150&lt;=30,"1-30 hari",IF($L150&lt;=60,"31-60 hari",IF($L150&lt;=90,"61-90 hari","Lebih dari 90 hari")))))))</f>
        <v/>
      </c>
      <c r="N150" s="18" t="str">
        <f aca="false">IF($H150="","",IF($L150&lt;=0,"",$L150*1000000+ROW()))</f>
        <v/>
      </c>
    </row>
    <row r="151" customFormat="false" ht="15" hidden="false" customHeight="true" outlineLevel="0" collapsed="false">
      <c r="A151" s="18" t="str">
        <f aca="false">IF($C151="","",COUNTA($C$8:$C151))</f>
        <v/>
      </c>
      <c r="B151" s="44"/>
      <c r="C151" s="45"/>
      <c r="D151" s="46"/>
      <c r="E151" s="46"/>
      <c r="F151" s="47"/>
      <c r="G151" s="35" t="str">
        <f aca="false">IF(OR($B151="",$F151=""),"",$B151+$F151)</f>
        <v/>
      </c>
      <c r="H151" s="48"/>
      <c r="I151" s="48"/>
      <c r="J151" s="37" t="n">
        <f aca="false">IF($H151="",0,$H151-N($I151))</f>
        <v>0</v>
      </c>
      <c r="K151" s="38" t="str">
        <f aca="false">IF($H151="","",IF($J151&lt;0,"Lebih Bayar",IF($J151=0,"Lunas",IF(N($I151)&gt;0,"Bayar Sebagian","Belum Bayar"))))</f>
        <v/>
      </c>
      <c r="L151" s="39" t="n">
        <f aca="true">IF(OR($H151="",$G151=""),0,IF($J151&lt;=0,0,TODAY()-$G151))</f>
        <v>0</v>
      </c>
      <c r="M151" s="38" t="str">
        <f aca="false">IF($H151="","",IF($J151&lt;0,"Lebih Bayar",IF($J151=0,"Lunas",IF($L151&lt;=0,"Belum Jatuh Tempo",IF($L151&lt;=30,"1-30 hari",IF($L151&lt;=60,"31-60 hari",IF($L151&lt;=90,"61-90 hari","Lebih dari 90 hari")))))))</f>
        <v/>
      </c>
      <c r="N151" s="18" t="str">
        <f aca="false">IF($H151="","",IF($L151&lt;=0,"",$L151*1000000+ROW()))</f>
        <v/>
      </c>
    </row>
    <row r="152" customFormat="false" ht="15" hidden="false" customHeight="true" outlineLevel="0" collapsed="false">
      <c r="A152" s="18" t="str">
        <f aca="false">IF($C152="","",COUNTA($C$8:$C152))</f>
        <v/>
      </c>
      <c r="B152" s="40"/>
      <c r="C152" s="41"/>
      <c r="D152" s="19"/>
      <c r="E152" s="19"/>
      <c r="F152" s="42"/>
      <c r="G152" s="35" t="str">
        <f aca="false">IF(OR($B152="",$F152=""),"",$B152+$F152)</f>
        <v/>
      </c>
      <c r="H152" s="43"/>
      <c r="I152" s="43"/>
      <c r="J152" s="37" t="n">
        <f aca="false">IF($H152="",0,$H152-N($I152))</f>
        <v>0</v>
      </c>
      <c r="K152" s="38" t="str">
        <f aca="false">IF($H152="","",IF($J152&lt;0,"Lebih Bayar",IF($J152=0,"Lunas",IF(N($I152)&gt;0,"Bayar Sebagian","Belum Bayar"))))</f>
        <v/>
      </c>
      <c r="L152" s="39" t="n">
        <f aca="true">IF(OR($H152="",$G152=""),0,IF($J152&lt;=0,0,TODAY()-$G152))</f>
        <v>0</v>
      </c>
      <c r="M152" s="38" t="str">
        <f aca="false">IF($H152="","",IF($J152&lt;0,"Lebih Bayar",IF($J152=0,"Lunas",IF($L152&lt;=0,"Belum Jatuh Tempo",IF($L152&lt;=30,"1-30 hari",IF($L152&lt;=60,"31-60 hari",IF($L152&lt;=90,"61-90 hari","Lebih dari 90 hari")))))))</f>
        <v/>
      </c>
      <c r="N152" s="18" t="str">
        <f aca="false">IF($H152="","",IF($L152&lt;=0,"",$L152*1000000+ROW()))</f>
        <v/>
      </c>
    </row>
    <row r="153" customFormat="false" ht="15" hidden="false" customHeight="true" outlineLevel="0" collapsed="false">
      <c r="A153" s="18" t="str">
        <f aca="false">IF($C153="","",COUNTA($C$8:$C153))</f>
        <v/>
      </c>
      <c r="B153" s="44"/>
      <c r="C153" s="45"/>
      <c r="D153" s="46"/>
      <c r="E153" s="46"/>
      <c r="F153" s="47"/>
      <c r="G153" s="35" t="str">
        <f aca="false">IF(OR($B153="",$F153=""),"",$B153+$F153)</f>
        <v/>
      </c>
      <c r="H153" s="48"/>
      <c r="I153" s="48"/>
      <c r="J153" s="37" t="n">
        <f aca="false">IF($H153="",0,$H153-N($I153))</f>
        <v>0</v>
      </c>
      <c r="K153" s="38" t="str">
        <f aca="false">IF($H153="","",IF($J153&lt;0,"Lebih Bayar",IF($J153=0,"Lunas",IF(N($I153)&gt;0,"Bayar Sebagian","Belum Bayar"))))</f>
        <v/>
      </c>
      <c r="L153" s="39" t="n">
        <f aca="true">IF(OR($H153="",$G153=""),0,IF($J153&lt;=0,0,TODAY()-$G153))</f>
        <v>0</v>
      </c>
      <c r="M153" s="38" t="str">
        <f aca="false">IF($H153="","",IF($J153&lt;0,"Lebih Bayar",IF($J153=0,"Lunas",IF($L153&lt;=0,"Belum Jatuh Tempo",IF($L153&lt;=30,"1-30 hari",IF($L153&lt;=60,"31-60 hari",IF($L153&lt;=90,"61-90 hari","Lebih dari 90 hari")))))))</f>
        <v/>
      </c>
      <c r="N153" s="18" t="str">
        <f aca="false">IF($H153="","",IF($L153&lt;=0,"",$L153*1000000+ROW()))</f>
        <v/>
      </c>
    </row>
    <row r="154" customFormat="false" ht="15" hidden="false" customHeight="true" outlineLevel="0" collapsed="false">
      <c r="A154" s="18" t="str">
        <f aca="false">IF($C154="","",COUNTA($C$8:$C154))</f>
        <v/>
      </c>
      <c r="B154" s="40"/>
      <c r="C154" s="41"/>
      <c r="D154" s="19"/>
      <c r="E154" s="19"/>
      <c r="F154" s="42"/>
      <c r="G154" s="35" t="str">
        <f aca="false">IF(OR($B154="",$F154=""),"",$B154+$F154)</f>
        <v/>
      </c>
      <c r="H154" s="43"/>
      <c r="I154" s="43"/>
      <c r="J154" s="37" t="n">
        <f aca="false">IF($H154="",0,$H154-N($I154))</f>
        <v>0</v>
      </c>
      <c r="K154" s="38" t="str">
        <f aca="false">IF($H154="","",IF($J154&lt;0,"Lebih Bayar",IF($J154=0,"Lunas",IF(N($I154)&gt;0,"Bayar Sebagian","Belum Bayar"))))</f>
        <v/>
      </c>
      <c r="L154" s="39" t="n">
        <f aca="true">IF(OR($H154="",$G154=""),0,IF($J154&lt;=0,0,TODAY()-$G154))</f>
        <v>0</v>
      </c>
      <c r="M154" s="38" t="str">
        <f aca="false">IF($H154="","",IF($J154&lt;0,"Lebih Bayar",IF($J154=0,"Lunas",IF($L154&lt;=0,"Belum Jatuh Tempo",IF($L154&lt;=30,"1-30 hari",IF($L154&lt;=60,"31-60 hari",IF($L154&lt;=90,"61-90 hari","Lebih dari 90 hari")))))))</f>
        <v/>
      </c>
      <c r="N154" s="18" t="str">
        <f aca="false">IF($H154="","",IF($L154&lt;=0,"",$L154*1000000+ROW()))</f>
        <v/>
      </c>
    </row>
    <row r="155" customFormat="false" ht="15" hidden="false" customHeight="true" outlineLevel="0" collapsed="false">
      <c r="A155" s="18" t="str">
        <f aca="false">IF($C155="","",COUNTA($C$8:$C155))</f>
        <v/>
      </c>
      <c r="B155" s="44"/>
      <c r="C155" s="45"/>
      <c r="D155" s="46"/>
      <c r="E155" s="46"/>
      <c r="F155" s="47"/>
      <c r="G155" s="35" t="str">
        <f aca="false">IF(OR($B155="",$F155=""),"",$B155+$F155)</f>
        <v/>
      </c>
      <c r="H155" s="48"/>
      <c r="I155" s="48"/>
      <c r="J155" s="37" t="n">
        <f aca="false">IF($H155="",0,$H155-N($I155))</f>
        <v>0</v>
      </c>
      <c r="K155" s="38" t="str">
        <f aca="false">IF($H155="","",IF($J155&lt;0,"Lebih Bayar",IF($J155=0,"Lunas",IF(N($I155)&gt;0,"Bayar Sebagian","Belum Bayar"))))</f>
        <v/>
      </c>
      <c r="L155" s="39" t="n">
        <f aca="true">IF(OR($H155="",$G155=""),0,IF($J155&lt;=0,0,TODAY()-$G155))</f>
        <v>0</v>
      </c>
      <c r="M155" s="38" t="str">
        <f aca="false">IF($H155="","",IF($J155&lt;0,"Lebih Bayar",IF($J155=0,"Lunas",IF($L155&lt;=0,"Belum Jatuh Tempo",IF($L155&lt;=30,"1-30 hari",IF($L155&lt;=60,"31-60 hari",IF($L155&lt;=90,"61-90 hari","Lebih dari 90 hari")))))))</f>
        <v/>
      </c>
      <c r="N155" s="18" t="str">
        <f aca="false">IF($H155="","",IF($L155&lt;=0,"",$L155*1000000+ROW()))</f>
        <v/>
      </c>
    </row>
    <row r="156" customFormat="false" ht="15" hidden="false" customHeight="true" outlineLevel="0" collapsed="false">
      <c r="A156" s="18" t="str">
        <f aca="false">IF($C156="","",COUNTA($C$8:$C156))</f>
        <v/>
      </c>
      <c r="B156" s="40"/>
      <c r="C156" s="41"/>
      <c r="D156" s="19"/>
      <c r="E156" s="19"/>
      <c r="F156" s="42"/>
      <c r="G156" s="35" t="str">
        <f aca="false">IF(OR($B156="",$F156=""),"",$B156+$F156)</f>
        <v/>
      </c>
      <c r="H156" s="43"/>
      <c r="I156" s="43"/>
      <c r="J156" s="37" t="n">
        <f aca="false">IF($H156="",0,$H156-N($I156))</f>
        <v>0</v>
      </c>
      <c r="K156" s="38" t="str">
        <f aca="false">IF($H156="","",IF($J156&lt;0,"Lebih Bayar",IF($J156=0,"Lunas",IF(N($I156)&gt;0,"Bayar Sebagian","Belum Bayar"))))</f>
        <v/>
      </c>
      <c r="L156" s="39" t="n">
        <f aca="true">IF(OR($H156="",$G156=""),0,IF($J156&lt;=0,0,TODAY()-$G156))</f>
        <v>0</v>
      </c>
      <c r="M156" s="38" t="str">
        <f aca="false">IF($H156="","",IF($J156&lt;0,"Lebih Bayar",IF($J156=0,"Lunas",IF($L156&lt;=0,"Belum Jatuh Tempo",IF($L156&lt;=30,"1-30 hari",IF($L156&lt;=60,"31-60 hari",IF($L156&lt;=90,"61-90 hari","Lebih dari 90 hari")))))))</f>
        <v/>
      </c>
      <c r="N156" s="18" t="str">
        <f aca="false">IF($H156="","",IF($L156&lt;=0,"",$L156*1000000+ROW()))</f>
        <v/>
      </c>
    </row>
    <row r="157" customFormat="false" ht="15" hidden="false" customHeight="true" outlineLevel="0" collapsed="false">
      <c r="A157" s="18" t="str">
        <f aca="false">IF($C157="","",COUNTA($C$8:$C157))</f>
        <v/>
      </c>
      <c r="B157" s="44"/>
      <c r="C157" s="45"/>
      <c r="D157" s="46"/>
      <c r="E157" s="46"/>
      <c r="F157" s="47"/>
      <c r="G157" s="35" t="str">
        <f aca="false">IF(OR($B157="",$F157=""),"",$B157+$F157)</f>
        <v/>
      </c>
      <c r="H157" s="48"/>
      <c r="I157" s="48"/>
      <c r="J157" s="37" t="n">
        <f aca="false">IF($H157="",0,$H157-N($I157))</f>
        <v>0</v>
      </c>
      <c r="K157" s="38" t="str">
        <f aca="false">IF($H157="","",IF($J157&lt;0,"Lebih Bayar",IF($J157=0,"Lunas",IF(N($I157)&gt;0,"Bayar Sebagian","Belum Bayar"))))</f>
        <v/>
      </c>
      <c r="L157" s="39" t="n">
        <f aca="true">IF(OR($H157="",$G157=""),0,IF($J157&lt;=0,0,TODAY()-$G157))</f>
        <v>0</v>
      </c>
      <c r="M157" s="38" t="str">
        <f aca="false">IF($H157="","",IF($J157&lt;0,"Lebih Bayar",IF($J157=0,"Lunas",IF($L157&lt;=0,"Belum Jatuh Tempo",IF($L157&lt;=30,"1-30 hari",IF($L157&lt;=60,"31-60 hari",IF($L157&lt;=90,"61-90 hari","Lebih dari 90 hari")))))))</f>
        <v/>
      </c>
      <c r="N157" s="18" t="str">
        <f aca="false">IF($H157="","",IF($L157&lt;=0,"",$L157*1000000+ROW()))</f>
        <v/>
      </c>
    </row>
    <row r="158" customFormat="false" ht="15" hidden="false" customHeight="true" outlineLevel="0" collapsed="false">
      <c r="A158" s="18" t="str">
        <f aca="false">IF($C158="","",COUNTA($C$8:$C158))</f>
        <v/>
      </c>
      <c r="B158" s="40"/>
      <c r="C158" s="41"/>
      <c r="D158" s="19"/>
      <c r="E158" s="19"/>
      <c r="F158" s="42"/>
      <c r="G158" s="35" t="str">
        <f aca="false">IF(OR($B158="",$F158=""),"",$B158+$F158)</f>
        <v/>
      </c>
      <c r="H158" s="43"/>
      <c r="I158" s="43"/>
      <c r="J158" s="37" t="n">
        <f aca="false">IF($H158="",0,$H158-N($I158))</f>
        <v>0</v>
      </c>
      <c r="K158" s="38" t="str">
        <f aca="false">IF($H158="","",IF($J158&lt;0,"Lebih Bayar",IF($J158=0,"Lunas",IF(N($I158)&gt;0,"Bayar Sebagian","Belum Bayar"))))</f>
        <v/>
      </c>
      <c r="L158" s="39" t="n">
        <f aca="true">IF(OR($H158="",$G158=""),0,IF($J158&lt;=0,0,TODAY()-$G158))</f>
        <v>0</v>
      </c>
      <c r="M158" s="38" t="str">
        <f aca="false">IF($H158="","",IF($J158&lt;0,"Lebih Bayar",IF($J158=0,"Lunas",IF($L158&lt;=0,"Belum Jatuh Tempo",IF($L158&lt;=30,"1-30 hari",IF($L158&lt;=60,"31-60 hari",IF($L158&lt;=90,"61-90 hari","Lebih dari 90 hari")))))))</f>
        <v/>
      </c>
      <c r="N158" s="18" t="str">
        <f aca="false">IF($H158="","",IF($L158&lt;=0,"",$L158*1000000+ROW()))</f>
        <v/>
      </c>
    </row>
    <row r="159" customFormat="false" ht="15" hidden="false" customHeight="true" outlineLevel="0" collapsed="false">
      <c r="A159" s="18" t="str">
        <f aca="false">IF($C159="","",COUNTA($C$8:$C159))</f>
        <v/>
      </c>
      <c r="B159" s="44"/>
      <c r="C159" s="45"/>
      <c r="D159" s="46"/>
      <c r="E159" s="46"/>
      <c r="F159" s="47"/>
      <c r="G159" s="35" t="str">
        <f aca="false">IF(OR($B159="",$F159=""),"",$B159+$F159)</f>
        <v/>
      </c>
      <c r="H159" s="48"/>
      <c r="I159" s="48"/>
      <c r="J159" s="37" t="n">
        <f aca="false">IF($H159="",0,$H159-N($I159))</f>
        <v>0</v>
      </c>
      <c r="K159" s="38" t="str">
        <f aca="false">IF($H159="","",IF($J159&lt;0,"Lebih Bayar",IF($J159=0,"Lunas",IF(N($I159)&gt;0,"Bayar Sebagian","Belum Bayar"))))</f>
        <v/>
      </c>
      <c r="L159" s="39" t="n">
        <f aca="true">IF(OR($H159="",$G159=""),0,IF($J159&lt;=0,0,TODAY()-$G159))</f>
        <v>0</v>
      </c>
      <c r="M159" s="38" t="str">
        <f aca="false">IF($H159="","",IF($J159&lt;0,"Lebih Bayar",IF($J159=0,"Lunas",IF($L159&lt;=0,"Belum Jatuh Tempo",IF($L159&lt;=30,"1-30 hari",IF($L159&lt;=60,"31-60 hari",IF($L159&lt;=90,"61-90 hari","Lebih dari 90 hari")))))))</f>
        <v/>
      </c>
      <c r="N159" s="18" t="str">
        <f aca="false">IF($H159="","",IF($L159&lt;=0,"",$L159*1000000+ROW()))</f>
        <v/>
      </c>
    </row>
    <row r="160" customFormat="false" ht="15" hidden="false" customHeight="true" outlineLevel="0" collapsed="false">
      <c r="A160" s="18" t="str">
        <f aca="false">IF($C160="","",COUNTA($C$8:$C160))</f>
        <v/>
      </c>
      <c r="B160" s="40"/>
      <c r="C160" s="41"/>
      <c r="D160" s="19"/>
      <c r="E160" s="19"/>
      <c r="F160" s="42"/>
      <c r="G160" s="35" t="str">
        <f aca="false">IF(OR($B160="",$F160=""),"",$B160+$F160)</f>
        <v/>
      </c>
      <c r="H160" s="43"/>
      <c r="I160" s="43"/>
      <c r="J160" s="37" t="n">
        <f aca="false">IF($H160="",0,$H160-N($I160))</f>
        <v>0</v>
      </c>
      <c r="K160" s="38" t="str">
        <f aca="false">IF($H160="","",IF($J160&lt;0,"Lebih Bayar",IF($J160=0,"Lunas",IF(N($I160)&gt;0,"Bayar Sebagian","Belum Bayar"))))</f>
        <v/>
      </c>
      <c r="L160" s="39" t="n">
        <f aca="true">IF(OR($H160="",$G160=""),0,IF($J160&lt;=0,0,TODAY()-$G160))</f>
        <v>0</v>
      </c>
      <c r="M160" s="38" t="str">
        <f aca="false">IF($H160="","",IF($J160&lt;0,"Lebih Bayar",IF($J160=0,"Lunas",IF($L160&lt;=0,"Belum Jatuh Tempo",IF($L160&lt;=30,"1-30 hari",IF($L160&lt;=60,"31-60 hari",IF($L160&lt;=90,"61-90 hari","Lebih dari 90 hari")))))))</f>
        <v/>
      </c>
      <c r="N160" s="18" t="str">
        <f aca="false">IF($H160="","",IF($L160&lt;=0,"",$L160*1000000+ROW()))</f>
        <v/>
      </c>
    </row>
    <row r="161" customFormat="false" ht="15" hidden="false" customHeight="true" outlineLevel="0" collapsed="false">
      <c r="A161" s="18" t="str">
        <f aca="false">IF($C161="","",COUNTA($C$8:$C161))</f>
        <v/>
      </c>
      <c r="B161" s="44"/>
      <c r="C161" s="45"/>
      <c r="D161" s="46"/>
      <c r="E161" s="46"/>
      <c r="F161" s="47"/>
      <c r="G161" s="35" t="str">
        <f aca="false">IF(OR($B161="",$F161=""),"",$B161+$F161)</f>
        <v/>
      </c>
      <c r="H161" s="48"/>
      <c r="I161" s="48"/>
      <c r="J161" s="37" t="n">
        <f aca="false">IF($H161="",0,$H161-N($I161))</f>
        <v>0</v>
      </c>
      <c r="K161" s="38" t="str">
        <f aca="false">IF($H161="","",IF($J161&lt;0,"Lebih Bayar",IF($J161=0,"Lunas",IF(N($I161)&gt;0,"Bayar Sebagian","Belum Bayar"))))</f>
        <v/>
      </c>
      <c r="L161" s="39" t="n">
        <f aca="true">IF(OR($H161="",$G161=""),0,IF($J161&lt;=0,0,TODAY()-$G161))</f>
        <v>0</v>
      </c>
      <c r="M161" s="38" t="str">
        <f aca="false">IF($H161="","",IF($J161&lt;0,"Lebih Bayar",IF($J161=0,"Lunas",IF($L161&lt;=0,"Belum Jatuh Tempo",IF($L161&lt;=30,"1-30 hari",IF($L161&lt;=60,"31-60 hari",IF($L161&lt;=90,"61-90 hari","Lebih dari 90 hari")))))))</f>
        <v/>
      </c>
      <c r="N161" s="18" t="str">
        <f aca="false">IF($H161="","",IF($L161&lt;=0,"",$L161*1000000+ROW()))</f>
        <v/>
      </c>
    </row>
    <row r="162" customFormat="false" ht="15" hidden="false" customHeight="true" outlineLevel="0" collapsed="false">
      <c r="A162" s="18" t="str">
        <f aca="false">IF($C162="","",COUNTA($C$8:$C162))</f>
        <v/>
      </c>
      <c r="B162" s="40"/>
      <c r="C162" s="41"/>
      <c r="D162" s="19"/>
      <c r="E162" s="19"/>
      <c r="F162" s="42"/>
      <c r="G162" s="35" t="str">
        <f aca="false">IF(OR($B162="",$F162=""),"",$B162+$F162)</f>
        <v/>
      </c>
      <c r="H162" s="43"/>
      <c r="I162" s="43"/>
      <c r="J162" s="37" t="n">
        <f aca="false">IF($H162="",0,$H162-N($I162))</f>
        <v>0</v>
      </c>
      <c r="K162" s="38" t="str">
        <f aca="false">IF($H162="","",IF($J162&lt;0,"Lebih Bayar",IF($J162=0,"Lunas",IF(N($I162)&gt;0,"Bayar Sebagian","Belum Bayar"))))</f>
        <v/>
      </c>
      <c r="L162" s="39" t="n">
        <f aca="true">IF(OR($H162="",$G162=""),0,IF($J162&lt;=0,0,TODAY()-$G162))</f>
        <v>0</v>
      </c>
      <c r="M162" s="38" t="str">
        <f aca="false">IF($H162="","",IF($J162&lt;0,"Lebih Bayar",IF($J162=0,"Lunas",IF($L162&lt;=0,"Belum Jatuh Tempo",IF($L162&lt;=30,"1-30 hari",IF($L162&lt;=60,"31-60 hari",IF($L162&lt;=90,"61-90 hari","Lebih dari 90 hari")))))))</f>
        <v/>
      </c>
      <c r="N162" s="18" t="str">
        <f aca="false">IF($H162="","",IF($L162&lt;=0,"",$L162*1000000+ROW()))</f>
        <v/>
      </c>
    </row>
    <row r="163" customFormat="false" ht="15" hidden="false" customHeight="true" outlineLevel="0" collapsed="false">
      <c r="A163" s="18" t="str">
        <f aca="false">IF($C163="","",COUNTA($C$8:$C163))</f>
        <v/>
      </c>
      <c r="B163" s="44"/>
      <c r="C163" s="45"/>
      <c r="D163" s="46"/>
      <c r="E163" s="46"/>
      <c r="F163" s="47"/>
      <c r="G163" s="35" t="str">
        <f aca="false">IF(OR($B163="",$F163=""),"",$B163+$F163)</f>
        <v/>
      </c>
      <c r="H163" s="48"/>
      <c r="I163" s="48"/>
      <c r="J163" s="37" t="n">
        <f aca="false">IF($H163="",0,$H163-N($I163))</f>
        <v>0</v>
      </c>
      <c r="K163" s="38" t="str">
        <f aca="false">IF($H163="","",IF($J163&lt;0,"Lebih Bayar",IF($J163=0,"Lunas",IF(N($I163)&gt;0,"Bayar Sebagian","Belum Bayar"))))</f>
        <v/>
      </c>
      <c r="L163" s="39" t="n">
        <f aca="true">IF(OR($H163="",$G163=""),0,IF($J163&lt;=0,0,TODAY()-$G163))</f>
        <v>0</v>
      </c>
      <c r="M163" s="38" t="str">
        <f aca="false">IF($H163="","",IF($J163&lt;0,"Lebih Bayar",IF($J163=0,"Lunas",IF($L163&lt;=0,"Belum Jatuh Tempo",IF($L163&lt;=30,"1-30 hari",IF($L163&lt;=60,"31-60 hari",IF($L163&lt;=90,"61-90 hari","Lebih dari 90 hari")))))))</f>
        <v/>
      </c>
      <c r="N163" s="18" t="str">
        <f aca="false">IF($H163="","",IF($L163&lt;=0,"",$L163*1000000+ROW()))</f>
        <v/>
      </c>
    </row>
    <row r="164" customFormat="false" ht="15" hidden="false" customHeight="true" outlineLevel="0" collapsed="false">
      <c r="A164" s="18" t="str">
        <f aca="false">IF($C164="","",COUNTA($C$8:$C164))</f>
        <v/>
      </c>
      <c r="B164" s="40"/>
      <c r="C164" s="41"/>
      <c r="D164" s="19"/>
      <c r="E164" s="19"/>
      <c r="F164" s="42"/>
      <c r="G164" s="35" t="str">
        <f aca="false">IF(OR($B164="",$F164=""),"",$B164+$F164)</f>
        <v/>
      </c>
      <c r="H164" s="43"/>
      <c r="I164" s="43"/>
      <c r="J164" s="37" t="n">
        <f aca="false">IF($H164="",0,$H164-N($I164))</f>
        <v>0</v>
      </c>
      <c r="K164" s="38" t="str">
        <f aca="false">IF($H164="","",IF($J164&lt;0,"Lebih Bayar",IF($J164=0,"Lunas",IF(N($I164)&gt;0,"Bayar Sebagian","Belum Bayar"))))</f>
        <v/>
      </c>
      <c r="L164" s="39" t="n">
        <f aca="true">IF(OR($H164="",$G164=""),0,IF($J164&lt;=0,0,TODAY()-$G164))</f>
        <v>0</v>
      </c>
      <c r="M164" s="38" t="str">
        <f aca="false">IF($H164="","",IF($J164&lt;0,"Lebih Bayar",IF($J164=0,"Lunas",IF($L164&lt;=0,"Belum Jatuh Tempo",IF($L164&lt;=30,"1-30 hari",IF($L164&lt;=60,"31-60 hari",IF($L164&lt;=90,"61-90 hari","Lebih dari 90 hari")))))))</f>
        <v/>
      </c>
      <c r="N164" s="18" t="str">
        <f aca="false">IF($H164="","",IF($L164&lt;=0,"",$L164*1000000+ROW()))</f>
        <v/>
      </c>
    </row>
    <row r="165" customFormat="false" ht="15" hidden="false" customHeight="true" outlineLevel="0" collapsed="false">
      <c r="A165" s="18" t="str">
        <f aca="false">IF($C165="","",COUNTA($C$8:$C165))</f>
        <v/>
      </c>
      <c r="B165" s="44"/>
      <c r="C165" s="45"/>
      <c r="D165" s="46"/>
      <c r="E165" s="46"/>
      <c r="F165" s="47"/>
      <c r="G165" s="35" t="str">
        <f aca="false">IF(OR($B165="",$F165=""),"",$B165+$F165)</f>
        <v/>
      </c>
      <c r="H165" s="48"/>
      <c r="I165" s="48"/>
      <c r="J165" s="37" t="n">
        <f aca="false">IF($H165="",0,$H165-N($I165))</f>
        <v>0</v>
      </c>
      <c r="K165" s="38" t="str">
        <f aca="false">IF($H165="","",IF($J165&lt;0,"Lebih Bayar",IF($J165=0,"Lunas",IF(N($I165)&gt;0,"Bayar Sebagian","Belum Bayar"))))</f>
        <v/>
      </c>
      <c r="L165" s="39" t="n">
        <f aca="true">IF(OR($H165="",$G165=""),0,IF($J165&lt;=0,0,TODAY()-$G165))</f>
        <v>0</v>
      </c>
      <c r="M165" s="38" t="str">
        <f aca="false">IF($H165="","",IF($J165&lt;0,"Lebih Bayar",IF($J165=0,"Lunas",IF($L165&lt;=0,"Belum Jatuh Tempo",IF($L165&lt;=30,"1-30 hari",IF($L165&lt;=60,"31-60 hari",IF($L165&lt;=90,"61-90 hari","Lebih dari 90 hari")))))))</f>
        <v/>
      </c>
      <c r="N165" s="18" t="str">
        <f aca="false">IF($H165="","",IF($L165&lt;=0,"",$L165*1000000+ROW()))</f>
        <v/>
      </c>
    </row>
    <row r="166" customFormat="false" ht="15" hidden="false" customHeight="true" outlineLevel="0" collapsed="false">
      <c r="A166" s="18" t="str">
        <f aca="false">IF($C166="","",COUNTA($C$8:$C166))</f>
        <v/>
      </c>
      <c r="B166" s="40"/>
      <c r="C166" s="41"/>
      <c r="D166" s="19"/>
      <c r="E166" s="19"/>
      <c r="F166" s="42"/>
      <c r="G166" s="35" t="str">
        <f aca="false">IF(OR($B166="",$F166=""),"",$B166+$F166)</f>
        <v/>
      </c>
      <c r="H166" s="43"/>
      <c r="I166" s="43"/>
      <c r="J166" s="37" t="n">
        <f aca="false">IF($H166="",0,$H166-N($I166))</f>
        <v>0</v>
      </c>
      <c r="K166" s="38" t="str">
        <f aca="false">IF($H166="","",IF($J166&lt;0,"Lebih Bayar",IF($J166=0,"Lunas",IF(N($I166)&gt;0,"Bayar Sebagian","Belum Bayar"))))</f>
        <v/>
      </c>
      <c r="L166" s="39" t="n">
        <f aca="true">IF(OR($H166="",$G166=""),0,IF($J166&lt;=0,0,TODAY()-$G166))</f>
        <v>0</v>
      </c>
      <c r="M166" s="38" t="str">
        <f aca="false">IF($H166="","",IF($J166&lt;0,"Lebih Bayar",IF($J166=0,"Lunas",IF($L166&lt;=0,"Belum Jatuh Tempo",IF($L166&lt;=30,"1-30 hari",IF($L166&lt;=60,"31-60 hari",IF($L166&lt;=90,"61-90 hari","Lebih dari 90 hari")))))))</f>
        <v/>
      </c>
      <c r="N166" s="18" t="str">
        <f aca="false">IF($H166="","",IF($L166&lt;=0,"",$L166*1000000+ROW()))</f>
        <v/>
      </c>
    </row>
    <row r="167" customFormat="false" ht="15" hidden="false" customHeight="true" outlineLevel="0" collapsed="false">
      <c r="A167" s="18" t="str">
        <f aca="false">IF($C167="","",COUNTA($C$8:$C167))</f>
        <v/>
      </c>
      <c r="B167" s="44"/>
      <c r="C167" s="45"/>
      <c r="D167" s="46"/>
      <c r="E167" s="46"/>
      <c r="F167" s="47"/>
      <c r="G167" s="35" t="str">
        <f aca="false">IF(OR($B167="",$F167=""),"",$B167+$F167)</f>
        <v/>
      </c>
      <c r="H167" s="48"/>
      <c r="I167" s="48"/>
      <c r="J167" s="37" t="n">
        <f aca="false">IF($H167="",0,$H167-N($I167))</f>
        <v>0</v>
      </c>
      <c r="K167" s="38" t="str">
        <f aca="false">IF($H167="","",IF($J167&lt;0,"Lebih Bayar",IF($J167=0,"Lunas",IF(N($I167)&gt;0,"Bayar Sebagian","Belum Bayar"))))</f>
        <v/>
      </c>
      <c r="L167" s="39" t="n">
        <f aca="true">IF(OR($H167="",$G167=""),0,IF($J167&lt;=0,0,TODAY()-$G167))</f>
        <v>0</v>
      </c>
      <c r="M167" s="38" t="str">
        <f aca="false">IF($H167="","",IF($J167&lt;0,"Lebih Bayar",IF($J167=0,"Lunas",IF($L167&lt;=0,"Belum Jatuh Tempo",IF($L167&lt;=30,"1-30 hari",IF($L167&lt;=60,"31-60 hari",IF($L167&lt;=90,"61-90 hari","Lebih dari 90 hari")))))))</f>
        <v/>
      </c>
      <c r="N167" s="18" t="str">
        <f aca="false">IF($H167="","",IF($L167&lt;=0,"",$L167*1000000+ROW()))</f>
        <v/>
      </c>
    </row>
    <row r="168" customFormat="false" ht="15" hidden="false" customHeight="true" outlineLevel="0" collapsed="false">
      <c r="A168" s="18" t="str">
        <f aca="false">IF($C168="","",COUNTA($C$8:$C168))</f>
        <v/>
      </c>
      <c r="B168" s="40"/>
      <c r="C168" s="41"/>
      <c r="D168" s="19"/>
      <c r="E168" s="19"/>
      <c r="F168" s="42"/>
      <c r="G168" s="35" t="str">
        <f aca="false">IF(OR($B168="",$F168=""),"",$B168+$F168)</f>
        <v/>
      </c>
      <c r="H168" s="43"/>
      <c r="I168" s="43"/>
      <c r="J168" s="37" t="n">
        <f aca="false">IF($H168="",0,$H168-N($I168))</f>
        <v>0</v>
      </c>
      <c r="K168" s="38" t="str">
        <f aca="false">IF($H168="","",IF($J168&lt;0,"Lebih Bayar",IF($J168=0,"Lunas",IF(N($I168)&gt;0,"Bayar Sebagian","Belum Bayar"))))</f>
        <v/>
      </c>
      <c r="L168" s="39" t="n">
        <f aca="true">IF(OR($H168="",$G168=""),0,IF($J168&lt;=0,0,TODAY()-$G168))</f>
        <v>0</v>
      </c>
      <c r="M168" s="38" t="str">
        <f aca="false">IF($H168="","",IF($J168&lt;0,"Lebih Bayar",IF($J168=0,"Lunas",IF($L168&lt;=0,"Belum Jatuh Tempo",IF($L168&lt;=30,"1-30 hari",IF($L168&lt;=60,"31-60 hari",IF($L168&lt;=90,"61-90 hari","Lebih dari 90 hari")))))))</f>
        <v/>
      </c>
      <c r="N168" s="18" t="str">
        <f aca="false">IF($H168="","",IF($L168&lt;=0,"",$L168*1000000+ROW()))</f>
        <v/>
      </c>
    </row>
    <row r="169" customFormat="false" ht="15" hidden="false" customHeight="true" outlineLevel="0" collapsed="false">
      <c r="A169" s="18" t="str">
        <f aca="false">IF($C169="","",COUNTA($C$8:$C169))</f>
        <v/>
      </c>
      <c r="B169" s="44"/>
      <c r="C169" s="45"/>
      <c r="D169" s="46"/>
      <c r="E169" s="46"/>
      <c r="F169" s="47"/>
      <c r="G169" s="35" t="str">
        <f aca="false">IF(OR($B169="",$F169=""),"",$B169+$F169)</f>
        <v/>
      </c>
      <c r="H169" s="48"/>
      <c r="I169" s="48"/>
      <c r="J169" s="37" t="n">
        <f aca="false">IF($H169="",0,$H169-N($I169))</f>
        <v>0</v>
      </c>
      <c r="K169" s="38" t="str">
        <f aca="false">IF($H169="","",IF($J169&lt;0,"Lebih Bayar",IF($J169=0,"Lunas",IF(N($I169)&gt;0,"Bayar Sebagian","Belum Bayar"))))</f>
        <v/>
      </c>
      <c r="L169" s="39" t="n">
        <f aca="true">IF(OR($H169="",$G169=""),0,IF($J169&lt;=0,0,TODAY()-$G169))</f>
        <v>0</v>
      </c>
      <c r="M169" s="38" t="str">
        <f aca="false">IF($H169="","",IF($J169&lt;0,"Lebih Bayar",IF($J169=0,"Lunas",IF($L169&lt;=0,"Belum Jatuh Tempo",IF($L169&lt;=30,"1-30 hari",IF($L169&lt;=60,"31-60 hari",IF($L169&lt;=90,"61-90 hari","Lebih dari 90 hari")))))))</f>
        <v/>
      </c>
      <c r="N169" s="18" t="str">
        <f aca="false">IF($H169="","",IF($L169&lt;=0,"",$L169*1000000+ROW()))</f>
        <v/>
      </c>
    </row>
    <row r="170" customFormat="false" ht="15" hidden="false" customHeight="true" outlineLevel="0" collapsed="false">
      <c r="A170" s="18" t="str">
        <f aca="false">IF($C170="","",COUNTA($C$8:$C170))</f>
        <v/>
      </c>
      <c r="B170" s="40"/>
      <c r="C170" s="41"/>
      <c r="D170" s="19"/>
      <c r="E170" s="19"/>
      <c r="F170" s="42"/>
      <c r="G170" s="35" t="str">
        <f aca="false">IF(OR($B170="",$F170=""),"",$B170+$F170)</f>
        <v/>
      </c>
      <c r="H170" s="43"/>
      <c r="I170" s="43"/>
      <c r="J170" s="37" t="n">
        <f aca="false">IF($H170="",0,$H170-N($I170))</f>
        <v>0</v>
      </c>
      <c r="K170" s="38" t="str">
        <f aca="false">IF($H170="","",IF($J170&lt;0,"Lebih Bayar",IF($J170=0,"Lunas",IF(N($I170)&gt;0,"Bayar Sebagian","Belum Bayar"))))</f>
        <v/>
      </c>
      <c r="L170" s="39" t="n">
        <f aca="true">IF(OR($H170="",$G170=""),0,IF($J170&lt;=0,0,TODAY()-$G170))</f>
        <v>0</v>
      </c>
      <c r="M170" s="38" t="str">
        <f aca="false">IF($H170="","",IF($J170&lt;0,"Lebih Bayar",IF($J170=0,"Lunas",IF($L170&lt;=0,"Belum Jatuh Tempo",IF($L170&lt;=30,"1-30 hari",IF($L170&lt;=60,"31-60 hari",IF($L170&lt;=90,"61-90 hari","Lebih dari 90 hari")))))))</f>
        <v/>
      </c>
      <c r="N170" s="18" t="str">
        <f aca="false">IF($H170="","",IF($L170&lt;=0,"",$L170*1000000+ROW()))</f>
        <v/>
      </c>
    </row>
    <row r="171" customFormat="false" ht="15" hidden="false" customHeight="true" outlineLevel="0" collapsed="false">
      <c r="A171" s="18" t="str">
        <f aca="false">IF($C171="","",COUNTA($C$8:$C171))</f>
        <v/>
      </c>
      <c r="B171" s="44"/>
      <c r="C171" s="45"/>
      <c r="D171" s="46"/>
      <c r="E171" s="46"/>
      <c r="F171" s="47"/>
      <c r="G171" s="35" t="str">
        <f aca="false">IF(OR($B171="",$F171=""),"",$B171+$F171)</f>
        <v/>
      </c>
      <c r="H171" s="48"/>
      <c r="I171" s="48"/>
      <c r="J171" s="37" t="n">
        <f aca="false">IF($H171="",0,$H171-N($I171))</f>
        <v>0</v>
      </c>
      <c r="K171" s="38" t="str">
        <f aca="false">IF($H171="","",IF($J171&lt;0,"Lebih Bayar",IF($J171=0,"Lunas",IF(N($I171)&gt;0,"Bayar Sebagian","Belum Bayar"))))</f>
        <v/>
      </c>
      <c r="L171" s="39" t="n">
        <f aca="true">IF(OR($H171="",$G171=""),0,IF($J171&lt;=0,0,TODAY()-$G171))</f>
        <v>0</v>
      </c>
      <c r="M171" s="38" t="str">
        <f aca="false">IF($H171="","",IF($J171&lt;0,"Lebih Bayar",IF($J171=0,"Lunas",IF($L171&lt;=0,"Belum Jatuh Tempo",IF($L171&lt;=30,"1-30 hari",IF($L171&lt;=60,"31-60 hari",IF($L171&lt;=90,"61-90 hari","Lebih dari 90 hari")))))))</f>
        <v/>
      </c>
      <c r="N171" s="18" t="str">
        <f aca="false">IF($H171="","",IF($L171&lt;=0,"",$L171*1000000+ROW()))</f>
        <v/>
      </c>
    </row>
    <row r="172" customFormat="false" ht="15" hidden="false" customHeight="true" outlineLevel="0" collapsed="false">
      <c r="A172" s="18" t="str">
        <f aca="false">IF($C172="","",COUNTA($C$8:$C172))</f>
        <v/>
      </c>
      <c r="B172" s="40"/>
      <c r="C172" s="41"/>
      <c r="D172" s="19"/>
      <c r="E172" s="19"/>
      <c r="F172" s="42"/>
      <c r="G172" s="35" t="str">
        <f aca="false">IF(OR($B172="",$F172=""),"",$B172+$F172)</f>
        <v/>
      </c>
      <c r="H172" s="43"/>
      <c r="I172" s="43"/>
      <c r="J172" s="37" t="n">
        <f aca="false">IF($H172="",0,$H172-N($I172))</f>
        <v>0</v>
      </c>
      <c r="K172" s="38" t="str">
        <f aca="false">IF($H172="","",IF($J172&lt;0,"Lebih Bayar",IF($J172=0,"Lunas",IF(N($I172)&gt;0,"Bayar Sebagian","Belum Bayar"))))</f>
        <v/>
      </c>
      <c r="L172" s="39" t="n">
        <f aca="true">IF(OR($H172="",$G172=""),0,IF($J172&lt;=0,0,TODAY()-$G172))</f>
        <v>0</v>
      </c>
      <c r="M172" s="38" t="str">
        <f aca="false">IF($H172="","",IF($J172&lt;0,"Lebih Bayar",IF($J172=0,"Lunas",IF($L172&lt;=0,"Belum Jatuh Tempo",IF($L172&lt;=30,"1-30 hari",IF($L172&lt;=60,"31-60 hari",IF($L172&lt;=90,"61-90 hari","Lebih dari 90 hari")))))))</f>
        <v/>
      </c>
      <c r="N172" s="18" t="str">
        <f aca="false">IF($H172="","",IF($L172&lt;=0,"",$L172*1000000+ROW()))</f>
        <v/>
      </c>
    </row>
    <row r="173" customFormat="false" ht="15" hidden="false" customHeight="true" outlineLevel="0" collapsed="false">
      <c r="A173" s="18" t="str">
        <f aca="false">IF($C173="","",COUNTA($C$8:$C173))</f>
        <v/>
      </c>
      <c r="B173" s="44"/>
      <c r="C173" s="45"/>
      <c r="D173" s="46"/>
      <c r="E173" s="46"/>
      <c r="F173" s="47"/>
      <c r="G173" s="35" t="str">
        <f aca="false">IF(OR($B173="",$F173=""),"",$B173+$F173)</f>
        <v/>
      </c>
      <c r="H173" s="48"/>
      <c r="I173" s="48"/>
      <c r="J173" s="37" t="n">
        <f aca="false">IF($H173="",0,$H173-N($I173))</f>
        <v>0</v>
      </c>
      <c r="K173" s="38" t="str">
        <f aca="false">IF($H173="","",IF($J173&lt;0,"Lebih Bayar",IF($J173=0,"Lunas",IF(N($I173)&gt;0,"Bayar Sebagian","Belum Bayar"))))</f>
        <v/>
      </c>
      <c r="L173" s="39" t="n">
        <f aca="true">IF(OR($H173="",$G173=""),0,IF($J173&lt;=0,0,TODAY()-$G173))</f>
        <v>0</v>
      </c>
      <c r="M173" s="38" t="str">
        <f aca="false">IF($H173="","",IF($J173&lt;0,"Lebih Bayar",IF($J173=0,"Lunas",IF($L173&lt;=0,"Belum Jatuh Tempo",IF($L173&lt;=30,"1-30 hari",IF($L173&lt;=60,"31-60 hari",IF($L173&lt;=90,"61-90 hari","Lebih dari 90 hari")))))))</f>
        <v/>
      </c>
      <c r="N173" s="18" t="str">
        <f aca="false">IF($H173="","",IF($L173&lt;=0,"",$L173*1000000+ROW()))</f>
        <v/>
      </c>
    </row>
    <row r="174" customFormat="false" ht="15" hidden="false" customHeight="true" outlineLevel="0" collapsed="false">
      <c r="A174" s="18" t="str">
        <f aca="false">IF($C174="","",COUNTA($C$8:$C174))</f>
        <v/>
      </c>
      <c r="B174" s="40"/>
      <c r="C174" s="41"/>
      <c r="D174" s="19"/>
      <c r="E174" s="19"/>
      <c r="F174" s="42"/>
      <c r="G174" s="35" t="str">
        <f aca="false">IF(OR($B174="",$F174=""),"",$B174+$F174)</f>
        <v/>
      </c>
      <c r="H174" s="43"/>
      <c r="I174" s="43"/>
      <c r="J174" s="37" t="n">
        <f aca="false">IF($H174="",0,$H174-N($I174))</f>
        <v>0</v>
      </c>
      <c r="K174" s="38" t="str">
        <f aca="false">IF($H174="","",IF($J174&lt;0,"Lebih Bayar",IF($J174=0,"Lunas",IF(N($I174)&gt;0,"Bayar Sebagian","Belum Bayar"))))</f>
        <v/>
      </c>
      <c r="L174" s="39" t="n">
        <f aca="true">IF(OR($H174="",$G174=""),0,IF($J174&lt;=0,0,TODAY()-$G174))</f>
        <v>0</v>
      </c>
      <c r="M174" s="38" t="str">
        <f aca="false">IF($H174="","",IF($J174&lt;0,"Lebih Bayar",IF($J174=0,"Lunas",IF($L174&lt;=0,"Belum Jatuh Tempo",IF($L174&lt;=30,"1-30 hari",IF($L174&lt;=60,"31-60 hari",IF($L174&lt;=90,"61-90 hari","Lebih dari 90 hari")))))))</f>
        <v/>
      </c>
      <c r="N174" s="18" t="str">
        <f aca="false">IF($H174="","",IF($L174&lt;=0,"",$L174*1000000+ROW()))</f>
        <v/>
      </c>
    </row>
    <row r="175" customFormat="false" ht="15" hidden="false" customHeight="true" outlineLevel="0" collapsed="false">
      <c r="A175" s="18" t="str">
        <f aca="false">IF($C175="","",COUNTA($C$8:$C175))</f>
        <v/>
      </c>
      <c r="B175" s="44"/>
      <c r="C175" s="45"/>
      <c r="D175" s="46"/>
      <c r="E175" s="46"/>
      <c r="F175" s="47"/>
      <c r="G175" s="35" t="str">
        <f aca="false">IF(OR($B175="",$F175=""),"",$B175+$F175)</f>
        <v/>
      </c>
      <c r="H175" s="48"/>
      <c r="I175" s="48"/>
      <c r="J175" s="37" t="n">
        <f aca="false">IF($H175="",0,$H175-N($I175))</f>
        <v>0</v>
      </c>
      <c r="K175" s="38" t="str">
        <f aca="false">IF($H175="","",IF($J175&lt;0,"Lebih Bayar",IF($J175=0,"Lunas",IF(N($I175)&gt;0,"Bayar Sebagian","Belum Bayar"))))</f>
        <v/>
      </c>
      <c r="L175" s="39" t="n">
        <f aca="true">IF(OR($H175="",$G175=""),0,IF($J175&lt;=0,0,TODAY()-$G175))</f>
        <v>0</v>
      </c>
      <c r="M175" s="38" t="str">
        <f aca="false">IF($H175="","",IF($J175&lt;0,"Lebih Bayar",IF($J175=0,"Lunas",IF($L175&lt;=0,"Belum Jatuh Tempo",IF($L175&lt;=30,"1-30 hari",IF($L175&lt;=60,"31-60 hari",IF($L175&lt;=90,"61-90 hari","Lebih dari 90 hari")))))))</f>
        <v/>
      </c>
      <c r="N175" s="18" t="str">
        <f aca="false">IF($H175="","",IF($L175&lt;=0,"",$L175*1000000+ROW()))</f>
        <v/>
      </c>
    </row>
    <row r="176" customFormat="false" ht="15" hidden="false" customHeight="true" outlineLevel="0" collapsed="false">
      <c r="A176" s="18" t="str">
        <f aca="false">IF($C176="","",COUNTA($C$8:$C176))</f>
        <v/>
      </c>
      <c r="B176" s="40"/>
      <c r="C176" s="41"/>
      <c r="D176" s="19"/>
      <c r="E176" s="19"/>
      <c r="F176" s="42"/>
      <c r="G176" s="35" t="str">
        <f aca="false">IF(OR($B176="",$F176=""),"",$B176+$F176)</f>
        <v/>
      </c>
      <c r="H176" s="43"/>
      <c r="I176" s="43"/>
      <c r="J176" s="37" t="n">
        <f aca="false">IF($H176="",0,$H176-N($I176))</f>
        <v>0</v>
      </c>
      <c r="K176" s="38" t="str">
        <f aca="false">IF($H176="","",IF($J176&lt;0,"Lebih Bayar",IF($J176=0,"Lunas",IF(N($I176)&gt;0,"Bayar Sebagian","Belum Bayar"))))</f>
        <v/>
      </c>
      <c r="L176" s="39" t="n">
        <f aca="true">IF(OR($H176="",$G176=""),0,IF($J176&lt;=0,0,TODAY()-$G176))</f>
        <v>0</v>
      </c>
      <c r="M176" s="38" t="str">
        <f aca="false">IF($H176="","",IF($J176&lt;0,"Lebih Bayar",IF($J176=0,"Lunas",IF($L176&lt;=0,"Belum Jatuh Tempo",IF($L176&lt;=30,"1-30 hari",IF($L176&lt;=60,"31-60 hari",IF($L176&lt;=90,"61-90 hari","Lebih dari 90 hari")))))))</f>
        <v/>
      </c>
      <c r="N176" s="18" t="str">
        <f aca="false">IF($H176="","",IF($L176&lt;=0,"",$L176*1000000+ROW()))</f>
        <v/>
      </c>
    </row>
    <row r="177" customFormat="false" ht="15" hidden="false" customHeight="true" outlineLevel="0" collapsed="false">
      <c r="A177" s="18" t="str">
        <f aca="false">IF($C177="","",COUNTA($C$8:$C177))</f>
        <v/>
      </c>
      <c r="B177" s="44"/>
      <c r="C177" s="45"/>
      <c r="D177" s="46"/>
      <c r="E177" s="46"/>
      <c r="F177" s="47"/>
      <c r="G177" s="35" t="str">
        <f aca="false">IF(OR($B177="",$F177=""),"",$B177+$F177)</f>
        <v/>
      </c>
      <c r="H177" s="48"/>
      <c r="I177" s="48"/>
      <c r="J177" s="37" t="n">
        <f aca="false">IF($H177="",0,$H177-N($I177))</f>
        <v>0</v>
      </c>
      <c r="K177" s="38" t="str">
        <f aca="false">IF($H177="","",IF($J177&lt;0,"Lebih Bayar",IF($J177=0,"Lunas",IF(N($I177)&gt;0,"Bayar Sebagian","Belum Bayar"))))</f>
        <v/>
      </c>
      <c r="L177" s="39" t="n">
        <f aca="true">IF(OR($H177="",$G177=""),0,IF($J177&lt;=0,0,TODAY()-$G177))</f>
        <v>0</v>
      </c>
      <c r="M177" s="38" t="str">
        <f aca="false">IF($H177="","",IF($J177&lt;0,"Lebih Bayar",IF($J177=0,"Lunas",IF($L177&lt;=0,"Belum Jatuh Tempo",IF($L177&lt;=30,"1-30 hari",IF($L177&lt;=60,"31-60 hari",IF($L177&lt;=90,"61-90 hari","Lebih dari 90 hari")))))))</f>
        <v/>
      </c>
      <c r="N177" s="18" t="str">
        <f aca="false">IF($H177="","",IF($L177&lt;=0,"",$L177*1000000+ROW()))</f>
        <v/>
      </c>
    </row>
    <row r="178" customFormat="false" ht="15" hidden="false" customHeight="true" outlineLevel="0" collapsed="false">
      <c r="A178" s="18" t="str">
        <f aca="false">IF($C178="","",COUNTA($C$8:$C178))</f>
        <v/>
      </c>
      <c r="B178" s="40"/>
      <c r="C178" s="41"/>
      <c r="D178" s="19"/>
      <c r="E178" s="19"/>
      <c r="F178" s="42"/>
      <c r="G178" s="35" t="str">
        <f aca="false">IF(OR($B178="",$F178=""),"",$B178+$F178)</f>
        <v/>
      </c>
      <c r="H178" s="43"/>
      <c r="I178" s="43"/>
      <c r="J178" s="37" t="n">
        <f aca="false">IF($H178="",0,$H178-N($I178))</f>
        <v>0</v>
      </c>
      <c r="K178" s="38" t="str">
        <f aca="false">IF($H178="","",IF($J178&lt;0,"Lebih Bayar",IF($J178=0,"Lunas",IF(N($I178)&gt;0,"Bayar Sebagian","Belum Bayar"))))</f>
        <v/>
      </c>
      <c r="L178" s="39" t="n">
        <f aca="true">IF(OR($H178="",$G178=""),0,IF($J178&lt;=0,0,TODAY()-$G178))</f>
        <v>0</v>
      </c>
      <c r="M178" s="38" t="str">
        <f aca="false">IF($H178="","",IF($J178&lt;0,"Lebih Bayar",IF($J178=0,"Lunas",IF($L178&lt;=0,"Belum Jatuh Tempo",IF($L178&lt;=30,"1-30 hari",IF($L178&lt;=60,"31-60 hari",IF($L178&lt;=90,"61-90 hari","Lebih dari 90 hari")))))))</f>
        <v/>
      </c>
      <c r="N178" s="18" t="str">
        <f aca="false">IF($H178="","",IF($L178&lt;=0,"",$L178*1000000+ROW()))</f>
        <v/>
      </c>
    </row>
    <row r="179" customFormat="false" ht="15" hidden="false" customHeight="true" outlineLevel="0" collapsed="false">
      <c r="A179" s="18" t="str">
        <f aca="false">IF($C179="","",COUNTA($C$8:$C179))</f>
        <v/>
      </c>
      <c r="B179" s="44"/>
      <c r="C179" s="45"/>
      <c r="D179" s="46"/>
      <c r="E179" s="46"/>
      <c r="F179" s="47"/>
      <c r="G179" s="35" t="str">
        <f aca="false">IF(OR($B179="",$F179=""),"",$B179+$F179)</f>
        <v/>
      </c>
      <c r="H179" s="48"/>
      <c r="I179" s="48"/>
      <c r="J179" s="37" t="n">
        <f aca="false">IF($H179="",0,$H179-N($I179))</f>
        <v>0</v>
      </c>
      <c r="K179" s="38" t="str">
        <f aca="false">IF($H179="","",IF($J179&lt;0,"Lebih Bayar",IF($J179=0,"Lunas",IF(N($I179)&gt;0,"Bayar Sebagian","Belum Bayar"))))</f>
        <v/>
      </c>
      <c r="L179" s="39" t="n">
        <f aca="true">IF(OR($H179="",$G179=""),0,IF($J179&lt;=0,0,TODAY()-$G179))</f>
        <v>0</v>
      </c>
      <c r="M179" s="38" t="str">
        <f aca="false">IF($H179="","",IF($J179&lt;0,"Lebih Bayar",IF($J179=0,"Lunas",IF($L179&lt;=0,"Belum Jatuh Tempo",IF($L179&lt;=30,"1-30 hari",IF($L179&lt;=60,"31-60 hari",IF($L179&lt;=90,"61-90 hari","Lebih dari 90 hari")))))))</f>
        <v/>
      </c>
      <c r="N179" s="18" t="str">
        <f aca="false">IF($H179="","",IF($L179&lt;=0,"",$L179*1000000+ROW()))</f>
        <v/>
      </c>
    </row>
    <row r="180" customFormat="false" ht="15" hidden="false" customHeight="true" outlineLevel="0" collapsed="false">
      <c r="A180" s="18" t="str">
        <f aca="false">IF($C180="","",COUNTA($C$8:$C180))</f>
        <v/>
      </c>
      <c r="B180" s="40"/>
      <c r="C180" s="41"/>
      <c r="D180" s="19"/>
      <c r="E180" s="19"/>
      <c r="F180" s="42"/>
      <c r="G180" s="35" t="str">
        <f aca="false">IF(OR($B180="",$F180=""),"",$B180+$F180)</f>
        <v/>
      </c>
      <c r="H180" s="43"/>
      <c r="I180" s="43"/>
      <c r="J180" s="37" t="n">
        <f aca="false">IF($H180="",0,$H180-N($I180))</f>
        <v>0</v>
      </c>
      <c r="K180" s="38" t="str">
        <f aca="false">IF($H180="","",IF($J180&lt;0,"Lebih Bayar",IF($J180=0,"Lunas",IF(N($I180)&gt;0,"Bayar Sebagian","Belum Bayar"))))</f>
        <v/>
      </c>
      <c r="L180" s="39" t="n">
        <f aca="true">IF(OR($H180="",$G180=""),0,IF($J180&lt;=0,0,TODAY()-$G180))</f>
        <v>0</v>
      </c>
      <c r="M180" s="38" t="str">
        <f aca="false">IF($H180="","",IF($J180&lt;0,"Lebih Bayar",IF($J180=0,"Lunas",IF($L180&lt;=0,"Belum Jatuh Tempo",IF($L180&lt;=30,"1-30 hari",IF($L180&lt;=60,"31-60 hari",IF($L180&lt;=90,"61-90 hari","Lebih dari 90 hari")))))))</f>
        <v/>
      </c>
      <c r="N180" s="18" t="str">
        <f aca="false">IF($H180="","",IF($L180&lt;=0,"",$L180*1000000+ROW()))</f>
        <v/>
      </c>
    </row>
    <row r="181" customFormat="false" ht="15" hidden="false" customHeight="true" outlineLevel="0" collapsed="false">
      <c r="A181" s="18" t="str">
        <f aca="false">IF($C181="","",COUNTA($C$8:$C181))</f>
        <v/>
      </c>
      <c r="B181" s="44"/>
      <c r="C181" s="45"/>
      <c r="D181" s="46"/>
      <c r="E181" s="46"/>
      <c r="F181" s="47"/>
      <c r="G181" s="35" t="str">
        <f aca="false">IF(OR($B181="",$F181=""),"",$B181+$F181)</f>
        <v/>
      </c>
      <c r="H181" s="48"/>
      <c r="I181" s="48"/>
      <c r="J181" s="37" t="n">
        <f aca="false">IF($H181="",0,$H181-N($I181))</f>
        <v>0</v>
      </c>
      <c r="K181" s="38" t="str">
        <f aca="false">IF($H181="","",IF($J181&lt;0,"Lebih Bayar",IF($J181=0,"Lunas",IF(N($I181)&gt;0,"Bayar Sebagian","Belum Bayar"))))</f>
        <v/>
      </c>
      <c r="L181" s="39" t="n">
        <f aca="true">IF(OR($H181="",$G181=""),0,IF($J181&lt;=0,0,TODAY()-$G181))</f>
        <v>0</v>
      </c>
      <c r="M181" s="38" t="str">
        <f aca="false">IF($H181="","",IF($J181&lt;0,"Lebih Bayar",IF($J181=0,"Lunas",IF($L181&lt;=0,"Belum Jatuh Tempo",IF($L181&lt;=30,"1-30 hari",IF($L181&lt;=60,"31-60 hari",IF($L181&lt;=90,"61-90 hari","Lebih dari 90 hari")))))))</f>
        <v/>
      </c>
      <c r="N181" s="18" t="str">
        <f aca="false">IF($H181="","",IF($L181&lt;=0,"",$L181*1000000+ROW()))</f>
        <v/>
      </c>
    </row>
    <row r="182" customFormat="false" ht="15" hidden="false" customHeight="true" outlineLevel="0" collapsed="false">
      <c r="A182" s="18" t="str">
        <f aca="false">IF($C182="","",COUNTA($C$8:$C182))</f>
        <v/>
      </c>
      <c r="B182" s="40"/>
      <c r="C182" s="41"/>
      <c r="D182" s="19"/>
      <c r="E182" s="19"/>
      <c r="F182" s="42"/>
      <c r="G182" s="35" t="str">
        <f aca="false">IF(OR($B182="",$F182=""),"",$B182+$F182)</f>
        <v/>
      </c>
      <c r="H182" s="43"/>
      <c r="I182" s="43"/>
      <c r="J182" s="37" t="n">
        <f aca="false">IF($H182="",0,$H182-N($I182))</f>
        <v>0</v>
      </c>
      <c r="K182" s="38" t="str">
        <f aca="false">IF($H182="","",IF($J182&lt;0,"Lebih Bayar",IF($J182=0,"Lunas",IF(N($I182)&gt;0,"Bayar Sebagian","Belum Bayar"))))</f>
        <v/>
      </c>
      <c r="L182" s="39" t="n">
        <f aca="true">IF(OR($H182="",$G182=""),0,IF($J182&lt;=0,0,TODAY()-$G182))</f>
        <v>0</v>
      </c>
      <c r="M182" s="38" t="str">
        <f aca="false">IF($H182="","",IF($J182&lt;0,"Lebih Bayar",IF($J182=0,"Lunas",IF($L182&lt;=0,"Belum Jatuh Tempo",IF($L182&lt;=30,"1-30 hari",IF($L182&lt;=60,"31-60 hari",IF($L182&lt;=90,"61-90 hari","Lebih dari 90 hari")))))))</f>
        <v/>
      </c>
      <c r="N182" s="18" t="str">
        <f aca="false">IF($H182="","",IF($L182&lt;=0,"",$L182*1000000+ROW()))</f>
        <v/>
      </c>
    </row>
    <row r="183" customFormat="false" ht="15" hidden="false" customHeight="true" outlineLevel="0" collapsed="false">
      <c r="A183" s="18" t="str">
        <f aca="false">IF($C183="","",COUNTA($C$8:$C183))</f>
        <v/>
      </c>
      <c r="B183" s="44"/>
      <c r="C183" s="45"/>
      <c r="D183" s="46"/>
      <c r="E183" s="46"/>
      <c r="F183" s="47"/>
      <c r="G183" s="35" t="str">
        <f aca="false">IF(OR($B183="",$F183=""),"",$B183+$F183)</f>
        <v/>
      </c>
      <c r="H183" s="48"/>
      <c r="I183" s="48"/>
      <c r="J183" s="37" t="n">
        <f aca="false">IF($H183="",0,$H183-N($I183))</f>
        <v>0</v>
      </c>
      <c r="K183" s="38" t="str">
        <f aca="false">IF($H183="","",IF($J183&lt;0,"Lebih Bayar",IF($J183=0,"Lunas",IF(N($I183)&gt;0,"Bayar Sebagian","Belum Bayar"))))</f>
        <v/>
      </c>
      <c r="L183" s="39" t="n">
        <f aca="true">IF(OR($H183="",$G183=""),0,IF($J183&lt;=0,0,TODAY()-$G183))</f>
        <v>0</v>
      </c>
      <c r="M183" s="38" t="str">
        <f aca="false">IF($H183="","",IF($J183&lt;0,"Lebih Bayar",IF($J183=0,"Lunas",IF($L183&lt;=0,"Belum Jatuh Tempo",IF($L183&lt;=30,"1-30 hari",IF($L183&lt;=60,"31-60 hari",IF($L183&lt;=90,"61-90 hari","Lebih dari 90 hari")))))))</f>
        <v/>
      </c>
      <c r="N183" s="18" t="str">
        <f aca="false">IF($H183="","",IF($L183&lt;=0,"",$L183*1000000+ROW()))</f>
        <v/>
      </c>
    </row>
    <row r="184" customFormat="false" ht="15" hidden="false" customHeight="true" outlineLevel="0" collapsed="false">
      <c r="A184" s="18" t="str">
        <f aca="false">IF($C184="","",COUNTA($C$8:$C184))</f>
        <v/>
      </c>
      <c r="B184" s="40"/>
      <c r="C184" s="41"/>
      <c r="D184" s="19"/>
      <c r="E184" s="19"/>
      <c r="F184" s="42"/>
      <c r="G184" s="35" t="str">
        <f aca="false">IF(OR($B184="",$F184=""),"",$B184+$F184)</f>
        <v/>
      </c>
      <c r="H184" s="43"/>
      <c r="I184" s="43"/>
      <c r="J184" s="37" t="n">
        <f aca="false">IF($H184="",0,$H184-N($I184))</f>
        <v>0</v>
      </c>
      <c r="K184" s="38" t="str">
        <f aca="false">IF($H184="","",IF($J184&lt;0,"Lebih Bayar",IF($J184=0,"Lunas",IF(N($I184)&gt;0,"Bayar Sebagian","Belum Bayar"))))</f>
        <v/>
      </c>
      <c r="L184" s="39" t="n">
        <f aca="true">IF(OR($H184="",$G184=""),0,IF($J184&lt;=0,0,TODAY()-$G184))</f>
        <v>0</v>
      </c>
      <c r="M184" s="38" t="str">
        <f aca="false">IF($H184="","",IF($J184&lt;0,"Lebih Bayar",IF($J184=0,"Lunas",IF($L184&lt;=0,"Belum Jatuh Tempo",IF($L184&lt;=30,"1-30 hari",IF($L184&lt;=60,"31-60 hari",IF($L184&lt;=90,"61-90 hari","Lebih dari 90 hari")))))))</f>
        <v/>
      </c>
      <c r="N184" s="18" t="str">
        <f aca="false">IF($H184="","",IF($L184&lt;=0,"",$L184*1000000+ROW()))</f>
        <v/>
      </c>
    </row>
    <row r="185" customFormat="false" ht="15" hidden="false" customHeight="true" outlineLevel="0" collapsed="false">
      <c r="A185" s="18" t="str">
        <f aca="false">IF($C185="","",COUNTA($C$8:$C185))</f>
        <v/>
      </c>
      <c r="B185" s="44"/>
      <c r="C185" s="45"/>
      <c r="D185" s="46"/>
      <c r="E185" s="46"/>
      <c r="F185" s="47"/>
      <c r="G185" s="35" t="str">
        <f aca="false">IF(OR($B185="",$F185=""),"",$B185+$F185)</f>
        <v/>
      </c>
      <c r="H185" s="48"/>
      <c r="I185" s="48"/>
      <c r="J185" s="37" t="n">
        <f aca="false">IF($H185="",0,$H185-N($I185))</f>
        <v>0</v>
      </c>
      <c r="K185" s="38" t="str">
        <f aca="false">IF($H185="","",IF($J185&lt;0,"Lebih Bayar",IF($J185=0,"Lunas",IF(N($I185)&gt;0,"Bayar Sebagian","Belum Bayar"))))</f>
        <v/>
      </c>
      <c r="L185" s="39" t="n">
        <f aca="true">IF(OR($H185="",$G185=""),0,IF($J185&lt;=0,0,TODAY()-$G185))</f>
        <v>0</v>
      </c>
      <c r="M185" s="38" t="str">
        <f aca="false">IF($H185="","",IF($J185&lt;0,"Lebih Bayar",IF($J185=0,"Lunas",IF($L185&lt;=0,"Belum Jatuh Tempo",IF($L185&lt;=30,"1-30 hari",IF($L185&lt;=60,"31-60 hari",IF($L185&lt;=90,"61-90 hari","Lebih dari 90 hari")))))))</f>
        <v/>
      </c>
      <c r="N185" s="18" t="str">
        <f aca="false">IF($H185="","",IF($L185&lt;=0,"",$L185*1000000+ROW()))</f>
        <v/>
      </c>
    </row>
    <row r="186" customFormat="false" ht="15" hidden="false" customHeight="true" outlineLevel="0" collapsed="false">
      <c r="A186" s="18" t="str">
        <f aca="false">IF($C186="","",COUNTA($C$8:$C186))</f>
        <v/>
      </c>
      <c r="B186" s="40"/>
      <c r="C186" s="41"/>
      <c r="D186" s="19"/>
      <c r="E186" s="19"/>
      <c r="F186" s="42"/>
      <c r="G186" s="35" t="str">
        <f aca="false">IF(OR($B186="",$F186=""),"",$B186+$F186)</f>
        <v/>
      </c>
      <c r="H186" s="43"/>
      <c r="I186" s="43"/>
      <c r="J186" s="37" t="n">
        <f aca="false">IF($H186="",0,$H186-N($I186))</f>
        <v>0</v>
      </c>
      <c r="K186" s="38" t="str">
        <f aca="false">IF($H186="","",IF($J186&lt;0,"Lebih Bayar",IF($J186=0,"Lunas",IF(N($I186)&gt;0,"Bayar Sebagian","Belum Bayar"))))</f>
        <v/>
      </c>
      <c r="L186" s="39" t="n">
        <f aca="true">IF(OR($H186="",$G186=""),0,IF($J186&lt;=0,0,TODAY()-$G186))</f>
        <v>0</v>
      </c>
      <c r="M186" s="38" t="str">
        <f aca="false">IF($H186="","",IF($J186&lt;0,"Lebih Bayar",IF($J186=0,"Lunas",IF($L186&lt;=0,"Belum Jatuh Tempo",IF($L186&lt;=30,"1-30 hari",IF($L186&lt;=60,"31-60 hari",IF($L186&lt;=90,"61-90 hari","Lebih dari 90 hari")))))))</f>
        <v/>
      </c>
      <c r="N186" s="18" t="str">
        <f aca="false">IF($H186="","",IF($L186&lt;=0,"",$L186*1000000+ROW()))</f>
        <v/>
      </c>
    </row>
    <row r="187" customFormat="false" ht="15" hidden="false" customHeight="true" outlineLevel="0" collapsed="false">
      <c r="A187" s="18" t="str">
        <f aca="false">IF($C187="","",COUNTA($C$8:$C187))</f>
        <v/>
      </c>
      <c r="B187" s="44"/>
      <c r="C187" s="45"/>
      <c r="D187" s="46"/>
      <c r="E187" s="46"/>
      <c r="F187" s="47"/>
      <c r="G187" s="35" t="str">
        <f aca="false">IF(OR($B187="",$F187=""),"",$B187+$F187)</f>
        <v/>
      </c>
      <c r="H187" s="48"/>
      <c r="I187" s="48"/>
      <c r="J187" s="37" t="n">
        <f aca="false">IF($H187="",0,$H187-N($I187))</f>
        <v>0</v>
      </c>
      <c r="K187" s="38" t="str">
        <f aca="false">IF($H187="","",IF($J187&lt;0,"Lebih Bayar",IF($J187=0,"Lunas",IF(N($I187)&gt;0,"Bayar Sebagian","Belum Bayar"))))</f>
        <v/>
      </c>
      <c r="L187" s="39" t="n">
        <f aca="true">IF(OR($H187="",$G187=""),0,IF($J187&lt;=0,0,TODAY()-$G187))</f>
        <v>0</v>
      </c>
      <c r="M187" s="38" t="str">
        <f aca="false">IF($H187="","",IF($J187&lt;0,"Lebih Bayar",IF($J187=0,"Lunas",IF($L187&lt;=0,"Belum Jatuh Tempo",IF($L187&lt;=30,"1-30 hari",IF($L187&lt;=60,"31-60 hari",IF($L187&lt;=90,"61-90 hari","Lebih dari 90 hari")))))))</f>
        <v/>
      </c>
      <c r="N187" s="18" t="str">
        <f aca="false">IF($H187="","",IF($L187&lt;=0,"",$L187*1000000+ROW()))</f>
        <v/>
      </c>
    </row>
    <row r="188" customFormat="false" ht="15" hidden="false" customHeight="true" outlineLevel="0" collapsed="false">
      <c r="A188" s="18" t="str">
        <f aca="false">IF($C188="","",COUNTA($C$8:$C188))</f>
        <v/>
      </c>
      <c r="B188" s="40"/>
      <c r="C188" s="41"/>
      <c r="D188" s="19"/>
      <c r="E188" s="19"/>
      <c r="F188" s="42"/>
      <c r="G188" s="35" t="str">
        <f aca="false">IF(OR($B188="",$F188=""),"",$B188+$F188)</f>
        <v/>
      </c>
      <c r="H188" s="43"/>
      <c r="I188" s="43"/>
      <c r="J188" s="37" t="n">
        <f aca="false">IF($H188="",0,$H188-N($I188))</f>
        <v>0</v>
      </c>
      <c r="K188" s="38" t="str">
        <f aca="false">IF($H188="","",IF($J188&lt;0,"Lebih Bayar",IF($J188=0,"Lunas",IF(N($I188)&gt;0,"Bayar Sebagian","Belum Bayar"))))</f>
        <v/>
      </c>
      <c r="L188" s="39" t="n">
        <f aca="true">IF(OR($H188="",$G188=""),0,IF($J188&lt;=0,0,TODAY()-$G188))</f>
        <v>0</v>
      </c>
      <c r="M188" s="38" t="str">
        <f aca="false">IF($H188="","",IF($J188&lt;0,"Lebih Bayar",IF($J188=0,"Lunas",IF($L188&lt;=0,"Belum Jatuh Tempo",IF($L188&lt;=30,"1-30 hari",IF($L188&lt;=60,"31-60 hari",IF($L188&lt;=90,"61-90 hari","Lebih dari 90 hari")))))))</f>
        <v/>
      </c>
      <c r="N188" s="18" t="str">
        <f aca="false">IF($H188="","",IF($L188&lt;=0,"",$L188*1000000+ROW()))</f>
        <v/>
      </c>
    </row>
    <row r="189" customFormat="false" ht="15" hidden="false" customHeight="true" outlineLevel="0" collapsed="false">
      <c r="A189" s="18" t="str">
        <f aca="false">IF($C189="","",COUNTA($C$8:$C189))</f>
        <v/>
      </c>
      <c r="B189" s="44"/>
      <c r="C189" s="45"/>
      <c r="D189" s="46"/>
      <c r="E189" s="46"/>
      <c r="F189" s="47"/>
      <c r="G189" s="35" t="str">
        <f aca="false">IF(OR($B189="",$F189=""),"",$B189+$F189)</f>
        <v/>
      </c>
      <c r="H189" s="48"/>
      <c r="I189" s="48"/>
      <c r="J189" s="37" t="n">
        <f aca="false">IF($H189="",0,$H189-N($I189))</f>
        <v>0</v>
      </c>
      <c r="K189" s="38" t="str">
        <f aca="false">IF($H189="","",IF($J189&lt;0,"Lebih Bayar",IF($J189=0,"Lunas",IF(N($I189)&gt;0,"Bayar Sebagian","Belum Bayar"))))</f>
        <v/>
      </c>
      <c r="L189" s="39" t="n">
        <f aca="true">IF(OR($H189="",$G189=""),0,IF($J189&lt;=0,0,TODAY()-$G189))</f>
        <v>0</v>
      </c>
      <c r="M189" s="38" t="str">
        <f aca="false">IF($H189="","",IF($J189&lt;0,"Lebih Bayar",IF($J189=0,"Lunas",IF($L189&lt;=0,"Belum Jatuh Tempo",IF($L189&lt;=30,"1-30 hari",IF($L189&lt;=60,"31-60 hari",IF($L189&lt;=90,"61-90 hari","Lebih dari 90 hari")))))))</f>
        <v/>
      </c>
      <c r="N189" s="18" t="str">
        <f aca="false">IF($H189="","",IF($L189&lt;=0,"",$L189*1000000+ROW()))</f>
        <v/>
      </c>
    </row>
    <row r="190" customFormat="false" ht="15" hidden="false" customHeight="true" outlineLevel="0" collapsed="false">
      <c r="A190" s="18" t="str">
        <f aca="false">IF($C190="","",COUNTA($C$8:$C190))</f>
        <v/>
      </c>
      <c r="B190" s="40"/>
      <c r="C190" s="41"/>
      <c r="D190" s="19"/>
      <c r="E190" s="19"/>
      <c r="F190" s="42"/>
      <c r="G190" s="35" t="str">
        <f aca="false">IF(OR($B190="",$F190=""),"",$B190+$F190)</f>
        <v/>
      </c>
      <c r="H190" s="43"/>
      <c r="I190" s="43"/>
      <c r="J190" s="37" t="n">
        <f aca="false">IF($H190="",0,$H190-N($I190))</f>
        <v>0</v>
      </c>
      <c r="K190" s="38" t="str">
        <f aca="false">IF($H190="","",IF($J190&lt;0,"Lebih Bayar",IF($J190=0,"Lunas",IF(N($I190)&gt;0,"Bayar Sebagian","Belum Bayar"))))</f>
        <v/>
      </c>
      <c r="L190" s="39" t="n">
        <f aca="true">IF(OR($H190="",$G190=""),0,IF($J190&lt;=0,0,TODAY()-$G190))</f>
        <v>0</v>
      </c>
      <c r="M190" s="38" t="str">
        <f aca="false">IF($H190="","",IF($J190&lt;0,"Lebih Bayar",IF($J190=0,"Lunas",IF($L190&lt;=0,"Belum Jatuh Tempo",IF($L190&lt;=30,"1-30 hari",IF($L190&lt;=60,"31-60 hari",IF($L190&lt;=90,"61-90 hari","Lebih dari 90 hari")))))))</f>
        <v/>
      </c>
      <c r="N190" s="18" t="str">
        <f aca="false">IF($H190="","",IF($L190&lt;=0,"",$L190*1000000+ROW()))</f>
        <v/>
      </c>
    </row>
    <row r="191" customFormat="false" ht="15" hidden="false" customHeight="true" outlineLevel="0" collapsed="false">
      <c r="A191" s="18" t="str">
        <f aca="false">IF($C191="","",COUNTA($C$8:$C191))</f>
        <v/>
      </c>
      <c r="B191" s="44"/>
      <c r="C191" s="45"/>
      <c r="D191" s="46"/>
      <c r="E191" s="46"/>
      <c r="F191" s="47"/>
      <c r="G191" s="35" t="str">
        <f aca="false">IF(OR($B191="",$F191=""),"",$B191+$F191)</f>
        <v/>
      </c>
      <c r="H191" s="48"/>
      <c r="I191" s="48"/>
      <c r="J191" s="37" t="n">
        <f aca="false">IF($H191="",0,$H191-N($I191))</f>
        <v>0</v>
      </c>
      <c r="K191" s="38" t="str">
        <f aca="false">IF($H191="","",IF($J191&lt;0,"Lebih Bayar",IF($J191=0,"Lunas",IF(N($I191)&gt;0,"Bayar Sebagian","Belum Bayar"))))</f>
        <v/>
      </c>
      <c r="L191" s="39" t="n">
        <f aca="true">IF(OR($H191="",$G191=""),0,IF($J191&lt;=0,0,TODAY()-$G191))</f>
        <v>0</v>
      </c>
      <c r="M191" s="38" t="str">
        <f aca="false">IF($H191="","",IF($J191&lt;0,"Lebih Bayar",IF($J191=0,"Lunas",IF($L191&lt;=0,"Belum Jatuh Tempo",IF($L191&lt;=30,"1-30 hari",IF($L191&lt;=60,"31-60 hari",IF($L191&lt;=90,"61-90 hari","Lebih dari 90 hari")))))))</f>
        <v/>
      </c>
      <c r="N191" s="18" t="str">
        <f aca="false">IF($H191="","",IF($L191&lt;=0,"",$L191*1000000+ROW()))</f>
        <v/>
      </c>
    </row>
    <row r="192" customFormat="false" ht="15" hidden="false" customHeight="true" outlineLevel="0" collapsed="false">
      <c r="A192" s="18" t="str">
        <f aca="false">IF($C192="","",COUNTA($C$8:$C192))</f>
        <v/>
      </c>
      <c r="B192" s="40"/>
      <c r="C192" s="41"/>
      <c r="D192" s="19"/>
      <c r="E192" s="19"/>
      <c r="F192" s="42"/>
      <c r="G192" s="35" t="str">
        <f aca="false">IF(OR($B192="",$F192=""),"",$B192+$F192)</f>
        <v/>
      </c>
      <c r="H192" s="43"/>
      <c r="I192" s="43"/>
      <c r="J192" s="37" t="n">
        <f aca="false">IF($H192="",0,$H192-N($I192))</f>
        <v>0</v>
      </c>
      <c r="K192" s="38" t="str">
        <f aca="false">IF($H192="","",IF($J192&lt;0,"Lebih Bayar",IF($J192=0,"Lunas",IF(N($I192)&gt;0,"Bayar Sebagian","Belum Bayar"))))</f>
        <v/>
      </c>
      <c r="L192" s="39" t="n">
        <f aca="true">IF(OR($H192="",$G192=""),0,IF($J192&lt;=0,0,TODAY()-$G192))</f>
        <v>0</v>
      </c>
      <c r="M192" s="38" t="str">
        <f aca="false">IF($H192="","",IF($J192&lt;0,"Lebih Bayar",IF($J192=0,"Lunas",IF($L192&lt;=0,"Belum Jatuh Tempo",IF($L192&lt;=30,"1-30 hari",IF($L192&lt;=60,"31-60 hari",IF($L192&lt;=90,"61-90 hari","Lebih dari 90 hari")))))))</f>
        <v/>
      </c>
      <c r="N192" s="18" t="str">
        <f aca="false">IF($H192="","",IF($L192&lt;=0,"",$L192*1000000+ROW()))</f>
        <v/>
      </c>
    </row>
    <row r="193" customFormat="false" ht="15" hidden="false" customHeight="true" outlineLevel="0" collapsed="false">
      <c r="A193" s="18" t="str">
        <f aca="false">IF($C193="","",COUNTA($C$8:$C193))</f>
        <v/>
      </c>
      <c r="B193" s="44"/>
      <c r="C193" s="45"/>
      <c r="D193" s="46"/>
      <c r="E193" s="46"/>
      <c r="F193" s="47"/>
      <c r="G193" s="35" t="str">
        <f aca="false">IF(OR($B193="",$F193=""),"",$B193+$F193)</f>
        <v/>
      </c>
      <c r="H193" s="48"/>
      <c r="I193" s="48"/>
      <c r="J193" s="37" t="n">
        <f aca="false">IF($H193="",0,$H193-N($I193))</f>
        <v>0</v>
      </c>
      <c r="K193" s="38" t="str">
        <f aca="false">IF($H193="","",IF($J193&lt;0,"Lebih Bayar",IF($J193=0,"Lunas",IF(N($I193)&gt;0,"Bayar Sebagian","Belum Bayar"))))</f>
        <v/>
      </c>
      <c r="L193" s="39" t="n">
        <f aca="true">IF(OR($H193="",$G193=""),0,IF($J193&lt;=0,0,TODAY()-$G193))</f>
        <v>0</v>
      </c>
      <c r="M193" s="38" t="str">
        <f aca="false">IF($H193="","",IF($J193&lt;0,"Lebih Bayar",IF($J193=0,"Lunas",IF($L193&lt;=0,"Belum Jatuh Tempo",IF($L193&lt;=30,"1-30 hari",IF($L193&lt;=60,"31-60 hari",IF($L193&lt;=90,"61-90 hari","Lebih dari 90 hari")))))))</f>
        <v/>
      </c>
      <c r="N193" s="18" t="str">
        <f aca="false">IF($H193="","",IF($L193&lt;=0,"",$L193*1000000+ROW()))</f>
        <v/>
      </c>
    </row>
    <row r="194" customFormat="false" ht="15" hidden="false" customHeight="true" outlineLevel="0" collapsed="false">
      <c r="A194" s="18" t="str">
        <f aca="false">IF($C194="","",COUNTA($C$8:$C194))</f>
        <v/>
      </c>
      <c r="B194" s="40"/>
      <c r="C194" s="41"/>
      <c r="D194" s="19"/>
      <c r="E194" s="19"/>
      <c r="F194" s="42"/>
      <c r="G194" s="35" t="str">
        <f aca="false">IF(OR($B194="",$F194=""),"",$B194+$F194)</f>
        <v/>
      </c>
      <c r="H194" s="43"/>
      <c r="I194" s="43"/>
      <c r="J194" s="37" t="n">
        <f aca="false">IF($H194="",0,$H194-N($I194))</f>
        <v>0</v>
      </c>
      <c r="K194" s="38" t="str">
        <f aca="false">IF($H194="","",IF($J194&lt;0,"Lebih Bayar",IF($J194=0,"Lunas",IF(N($I194)&gt;0,"Bayar Sebagian","Belum Bayar"))))</f>
        <v/>
      </c>
      <c r="L194" s="39" t="n">
        <f aca="true">IF(OR($H194="",$G194=""),0,IF($J194&lt;=0,0,TODAY()-$G194))</f>
        <v>0</v>
      </c>
      <c r="M194" s="38" t="str">
        <f aca="false">IF($H194="","",IF($J194&lt;0,"Lebih Bayar",IF($J194=0,"Lunas",IF($L194&lt;=0,"Belum Jatuh Tempo",IF($L194&lt;=30,"1-30 hari",IF($L194&lt;=60,"31-60 hari",IF($L194&lt;=90,"61-90 hari","Lebih dari 90 hari")))))))</f>
        <v/>
      </c>
      <c r="N194" s="18" t="str">
        <f aca="false">IF($H194="","",IF($L194&lt;=0,"",$L194*1000000+ROW()))</f>
        <v/>
      </c>
    </row>
    <row r="195" customFormat="false" ht="15" hidden="false" customHeight="true" outlineLevel="0" collapsed="false">
      <c r="A195" s="18" t="str">
        <f aca="false">IF($C195="","",COUNTA($C$8:$C195))</f>
        <v/>
      </c>
      <c r="B195" s="44"/>
      <c r="C195" s="45"/>
      <c r="D195" s="46"/>
      <c r="E195" s="46"/>
      <c r="F195" s="47"/>
      <c r="G195" s="35" t="str">
        <f aca="false">IF(OR($B195="",$F195=""),"",$B195+$F195)</f>
        <v/>
      </c>
      <c r="H195" s="48"/>
      <c r="I195" s="48"/>
      <c r="J195" s="37" t="n">
        <f aca="false">IF($H195="",0,$H195-N($I195))</f>
        <v>0</v>
      </c>
      <c r="K195" s="38" t="str">
        <f aca="false">IF($H195="","",IF($J195&lt;0,"Lebih Bayar",IF($J195=0,"Lunas",IF(N($I195)&gt;0,"Bayar Sebagian","Belum Bayar"))))</f>
        <v/>
      </c>
      <c r="L195" s="39" t="n">
        <f aca="true">IF(OR($H195="",$G195=""),0,IF($J195&lt;=0,0,TODAY()-$G195))</f>
        <v>0</v>
      </c>
      <c r="M195" s="38" t="str">
        <f aca="false">IF($H195="","",IF($J195&lt;0,"Lebih Bayar",IF($J195=0,"Lunas",IF($L195&lt;=0,"Belum Jatuh Tempo",IF($L195&lt;=30,"1-30 hari",IF($L195&lt;=60,"31-60 hari",IF($L195&lt;=90,"61-90 hari","Lebih dari 90 hari")))))))</f>
        <v/>
      </c>
      <c r="N195" s="18" t="str">
        <f aca="false">IF($H195="","",IF($L195&lt;=0,"",$L195*1000000+ROW()))</f>
        <v/>
      </c>
    </row>
    <row r="196" customFormat="false" ht="15" hidden="false" customHeight="true" outlineLevel="0" collapsed="false">
      <c r="A196" s="18" t="str">
        <f aca="false">IF($C196="","",COUNTA($C$8:$C196))</f>
        <v/>
      </c>
      <c r="B196" s="40"/>
      <c r="C196" s="41"/>
      <c r="D196" s="19"/>
      <c r="E196" s="19"/>
      <c r="F196" s="42"/>
      <c r="G196" s="35" t="str">
        <f aca="false">IF(OR($B196="",$F196=""),"",$B196+$F196)</f>
        <v/>
      </c>
      <c r="H196" s="43"/>
      <c r="I196" s="43"/>
      <c r="J196" s="37" t="n">
        <f aca="false">IF($H196="",0,$H196-N($I196))</f>
        <v>0</v>
      </c>
      <c r="K196" s="38" t="str">
        <f aca="false">IF($H196="","",IF($J196&lt;0,"Lebih Bayar",IF($J196=0,"Lunas",IF(N($I196)&gt;0,"Bayar Sebagian","Belum Bayar"))))</f>
        <v/>
      </c>
      <c r="L196" s="39" t="n">
        <f aca="true">IF(OR($H196="",$G196=""),0,IF($J196&lt;=0,0,TODAY()-$G196))</f>
        <v>0</v>
      </c>
      <c r="M196" s="38" t="str">
        <f aca="false">IF($H196="","",IF($J196&lt;0,"Lebih Bayar",IF($J196=0,"Lunas",IF($L196&lt;=0,"Belum Jatuh Tempo",IF($L196&lt;=30,"1-30 hari",IF($L196&lt;=60,"31-60 hari",IF($L196&lt;=90,"61-90 hari","Lebih dari 90 hari")))))))</f>
        <v/>
      </c>
      <c r="N196" s="18" t="str">
        <f aca="false">IF($H196="","",IF($L196&lt;=0,"",$L196*1000000+ROW()))</f>
        <v/>
      </c>
    </row>
    <row r="197" customFormat="false" ht="15" hidden="false" customHeight="true" outlineLevel="0" collapsed="false">
      <c r="A197" s="18" t="str">
        <f aca="false">IF($C197="","",COUNTA($C$8:$C197))</f>
        <v/>
      </c>
      <c r="B197" s="44"/>
      <c r="C197" s="45"/>
      <c r="D197" s="46"/>
      <c r="E197" s="46"/>
      <c r="F197" s="47"/>
      <c r="G197" s="35" t="str">
        <f aca="false">IF(OR($B197="",$F197=""),"",$B197+$F197)</f>
        <v/>
      </c>
      <c r="H197" s="48"/>
      <c r="I197" s="48"/>
      <c r="J197" s="37" t="n">
        <f aca="false">IF($H197="",0,$H197-N($I197))</f>
        <v>0</v>
      </c>
      <c r="K197" s="38" t="str">
        <f aca="false">IF($H197="","",IF($J197&lt;0,"Lebih Bayar",IF($J197=0,"Lunas",IF(N($I197)&gt;0,"Bayar Sebagian","Belum Bayar"))))</f>
        <v/>
      </c>
      <c r="L197" s="39" t="n">
        <f aca="true">IF(OR($H197="",$G197=""),0,IF($J197&lt;=0,0,TODAY()-$G197))</f>
        <v>0</v>
      </c>
      <c r="M197" s="38" t="str">
        <f aca="false">IF($H197="","",IF($J197&lt;0,"Lebih Bayar",IF($J197=0,"Lunas",IF($L197&lt;=0,"Belum Jatuh Tempo",IF($L197&lt;=30,"1-30 hari",IF($L197&lt;=60,"31-60 hari",IF($L197&lt;=90,"61-90 hari","Lebih dari 90 hari")))))))</f>
        <v/>
      </c>
      <c r="N197" s="18" t="str">
        <f aca="false">IF($H197="","",IF($L197&lt;=0,"",$L197*1000000+ROW()))</f>
        <v/>
      </c>
    </row>
    <row r="198" customFormat="false" ht="15" hidden="false" customHeight="true" outlineLevel="0" collapsed="false">
      <c r="A198" s="18" t="str">
        <f aca="false">IF($C198="","",COUNTA($C$8:$C198))</f>
        <v/>
      </c>
      <c r="B198" s="40"/>
      <c r="C198" s="41"/>
      <c r="D198" s="19"/>
      <c r="E198" s="19"/>
      <c r="F198" s="42"/>
      <c r="G198" s="35" t="str">
        <f aca="false">IF(OR($B198="",$F198=""),"",$B198+$F198)</f>
        <v/>
      </c>
      <c r="H198" s="43"/>
      <c r="I198" s="43"/>
      <c r="J198" s="37" t="n">
        <f aca="false">IF($H198="",0,$H198-N($I198))</f>
        <v>0</v>
      </c>
      <c r="K198" s="38" t="str">
        <f aca="false">IF($H198="","",IF($J198&lt;0,"Lebih Bayar",IF($J198=0,"Lunas",IF(N($I198)&gt;0,"Bayar Sebagian","Belum Bayar"))))</f>
        <v/>
      </c>
      <c r="L198" s="39" t="n">
        <f aca="true">IF(OR($H198="",$G198=""),0,IF($J198&lt;=0,0,TODAY()-$G198))</f>
        <v>0</v>
      </c>
      <c r="M198" s="38" t="str">
        <f aca="false">IF($H198="","",IF($J198&lt;0,"Lebih Bayar",IF($J198=0,"Lunas",IF($L198&lt;=0,"Belum Jatuh Tempo",IF($L198&lt;=30,"1-30 hari",IF($L198&lt;=60,"31-60 hari",IF($L198&lt;=90,"61-90 hari","Lebih dari 90 hari")))))))</f>
        <v/>
      </c>
      <c r="N198" s="18" t="str">
        <f aca="false">IF($H198="","",IF($L198&lt;=0,"",$L198*1000000+ROW()))</f>
        <v/>
      </c>
    </row>
    <row r="199" customFormat="false" ht="15" hidden="false" customHeight="true" outlineLevel="0" collapsed="false">
      <c r="A199" s="18" t="str">
        <f aca="false">IF($C199="","",COUNTA($C$8:$C199))</f>
        <v/>
      </c>
      <c r="B199" s="44"/>
      <c r="C199" s="45"/>
      <c r="D199" s="46"/>
      <c r="E199" s="46"/>
      <c r="F199" s="47"/>
      <c r="G199" s="35" t="str">
        <f aca="false">IF(OR($B199="",$F199=""),"",$B199+$F199)</f>
        <v/>
      </c>
      <c r="H199" s="48"/>
      <c r="I199" s="48"/>
      <c r="J199" s="37" t="n">
        <f aca="false">IF($H199="",0,$H199-N($I199))</f>
        <v>0</v>
      </c>
      <c r="K199" s="38" t="str">
        <f aca="false">IF($H199="","",IF($J199&lt;0,"Lebih Bayar",IF($J199=0,"Lunas",IF(N($I199)&gt;0,"Bayar Sebagian","Belum Bayar"))))</f>
        <v/>
      </c>
      <c r="L199" s="39" t="n">
        <f aca="true">IF(OR($H199="",$G199=""),0,IF($J199&lt;=0,0,TODAY()-$G199))</f>
        <v>0</v>
      </c>
      <c r="M199" s="38" t="str">
        <f aca="false">IF($H199="","",IF($J199&lt;0,"Lebih Bayar",IF($J199=0,"Lunas",IF($L199&lt;=0,"Belum Jatuh Tempo",IF($L199&lt;=30,"1-30 hari",IF($L199&lt;=60,"31-60 hari",IF($L199&lt;=90,"61-90 hari","Lebih dari 90 hari")))))))</f>
        <v/>
      </c>
      <c r="N199" s="18" t="str">
        <f aca="false">IF($H199="","",IF($L199&lt;=0,"",$L199*1000000+ROW()))</f>
        <v/>
      </c>
    </row>
    <row r="200" customFormat="false" ht="15" hidden="false" customHeight="true" outlineLevel="0" collapsed="false">
      <c r="A200" s="18" t="str">
        <f aca="false">IF($C200="","",COUNTA($C$8:$C200))</f>
        <v/>
      </c>
      <c r="B200" s="40"/>
      <c r="C200" s="41"/>
      <c r="D200" s="19"/>
      <c r="E200" s="19"/>
      <c r="F200" s="42"/>
      <c r="G200" s="35" t="str">
        <f aca="false">IF(OR($B200="",$F200=""),"",$B200+$F200)</f>
        <v/>
      </c>
      <c r="H200" s="43"/>
      <c r="I200" s="43"/>
      <c r="J200" s="37" t="n">
        <f aca="false">IF($H200="",0,$H200-N($I200))</f>
        <v>0</v>
      </c>
      <c r="K200" s="38" t="str">
        <f aca="false">IF($H200="","",IF($J200&lt;0,"Lebih Bayar",IF($J200=0,"Lunas",IF(N($I200)&gt;0,"Bayar Sebagian","Belum Bayar"))))</f>
        <v/>
      </c>
      <c r="L200" s="39" t="n">
        <f aca="true">IF(OR($H200="",$G200=""),0,IF($J200&lt;=0,0,TODAY()-$G200))</f>
        <v>0</v>
      </c>
      <c r="M200" s="38" t="str">
        <f aca="false">IF($H200="","",IF($J200&lt;0,"Lebih Bayar",IF($J200=0,"Lunas",IF($L200&lt;=0,"Belum Jatuh Tempo",IF($L200&lt;=30,"1-30 hari",IF($L200&lt;=60,"31-60 hari",IF($L200&lt;=90,"61-90 hari","Lebih dari 90 hari")))))))</f>
        <v/>
      </c>
      <c r="N200" s="18" t="str">
        <f aca="false">IF($H200="","",IF($L200&lt;=0,"",$L200*1000000+ROW()))</f>
        <v/>
      </c>
    </row>
    <row r="201" customFormat="false" ht="15" hidden="false" customHeight="true" outlineLevel="0" collapsed="false">
      <c r="A201" s="18" t="str">
        <f aca="false">IF($C201="","",COUNTA($C$8:$C201))</f>
        <v/>
      </c>
      <c r="B201" s="44"/>
      <c r="C201" s="45"/>
      <c r="D201" s="46"/>
      <c r="E201" s="46"/>
      <c r="F201" s="47"/>
      <c r="G201" s="35" t="str">
        <f aca="false">IF(OR($B201="",$F201=""),"",$B201+$F201)</f>
        <v/>
      </c>
      <c r="H201" s="48"/>
      <c r="I201" s="48"/>
      <c r="J201" s="37" t="n">
        <f aca="false">IF($H201="",0,$H201-N($I201))</f>
        <v>0</v>
      </c>
      <c r="K201" s="38" t="str">
        <f aca="false">IF($H201="","",IF($J201&lt;0,"Lebih Bayar",IF($J201=0,"Lunas",IF(N($I201)&gt;0,"Bayar Sebagian","Belum Bayar"))))</f>
        <v/>
      </c>
      <c r="L201" s="39" t="n">
        <f aca="true">IF(OR($H201="",$G201=""),0,IF($J201&lt;=0,0,TODAY()-$G201))</f>
        <v>0</v>
      </c>
      <c r="M201" s="38" t="str">
        <f aca="false">IF($H201="","",IF($J201&lt;0,"Lebih Bayar",IF($J201=0,"Lunas",IF($L201&lt;=0,"Belum Jatuh Tempo",IF($L201&lt;=30,"1-30 hari",IF($L201&lt;=60,"31-60 hari",IF($L201&lt;=90,"61-90 hari","Lebih dari 90 hari")))))))</f>
        <v/>
      </c>
      <c r="N201" s="18" t="str">
        <f aca="false">IF($H201="","",IF($L201&lt;=0,"",$L201*1000000+ROW()))</f>
        <v/>
      </c>
    </row>
    <row r="202" customFormat="false" ht="15" hidden="false" customHeight="true" outlineLevel="0" collapsed="false">
      <c r="A202" s="18" t="str">
        <f aca="false">IF($C202="","",COUNTA($C$8:$C202))</f>
        <v/>
      </c>
      <c r="B202" s="40"/>
      <c r="C202" s="41"/>
      <c r="D202" s="19"/>
      <c r="E202" s="19"/>
      <c r="F202" s="42"/>
      <c r="G202" s="35" t="str">
        <f aca="false">IF(OR($B202="",$F202=""),"",$B202+$F202)</f>
        <v/>
      </c>
      <c r="H202" s="43"/>
      <c r="I202" s="43"/>
      <c r="J202" s="37" t="n">
        <f aca="false">IF($H202="",0,$H202-N($I202))</f>
        <v>0</v>
      </c>
      <c r="K202" s="38" t="str">
        <f aca="false">IF($H202="","",IF($J202&lt;0,"Lebih Bayar",IF($J202=0,"Lunas",IF(N($I202)&gt;0,"Bayar Sebagian","Belum Bayar"))))</f>
        <v/>
      </c>
      <c r="L202" s="39" t="n">
        <f aca="true">IF(OR($H202="",$G202=""),0,IF($J202&lt;=0,0,TODAY()-$G202))</f>
        <v>0</v>
      </c>
      <c r="M202" s="38" t="str">
        <f aca="false">IF($H202="","",IF($J202&lt;0,"Lebih Bayar",IF($J202=0,"Lunas",IF($L202&lt;=0,"Belum Jatuh Tempo",IF($L202&lt;=30,"1-30 hari",IF($L202&lt;=60,"31-60 hari",IF($L202&lt;=90,"61-90 hari","Lebih dari 90 hari")))))))</f>
        <v/>
      </c>
      <c r="N202" s="18" t="str">
        <f aca="false">IF($H202="","",IF($L202&lt;=0,"",$L202*1000000+ROW()))</f>
        <v/>
      </c>
    </row>
    <row r="203" customFormat="false" ht="15" hidden="false" customHeight="true" outlineLevel="0" collapsed="false">
      <c r="A203" s="18" t="str">
        <f aca="false">IF($C203="","",COUNTA($C$8:$C203))</f>
        <v/>
      </c>
      <c r="B203" s="44"/>
      <c r="C203" s="45"/>
      <c r="D203" s="46"/>
      <c r="E203" s="46"/>
      <c r="F203" s="47"/>
      <c r="G203" s="35" t="str">
        <f aca="false">IF(OR($B203="",$F203=""),"",$B203+$F203)</f>
        <v/>
      </c>
      <c r="H203" s="48"/>
      <c r="I203" s="48"/>
      <c r="J203" s="37" t="n">
        <f aca="false">IF($H203="",0,$H203-N($I203))</f>
        <v>0</v>
      </c>
      <c r="K203" s="38" t="str">
        <f aca="false">IF($H203="","",IF($J203&lt;0,"Lebih Bayar",IF($J203=0,"Lunas",IF(N($I203)&gt;0,"Bayar Sebagian","Belum Bayar"))))</f>
        <v/>
      </c>
      <c r="L203" s="39" t="n">
        <f aca="true">IF(OR($H203="",$G203=""),0,IF($J203&lt;=0,0,TODAY()-$G203))</f>
        <v>0</v>
      </c>
      <c r="M203" s="38" t="str">
        <f aca="false">IF($H203="","",IF($J203&lt;0,"Lebih Bayar",IF($J203=0,"Lunas",IF($L203&lt;=0,"Belum Jatuh Tempo",IF($L203&lt;=30,"1-30 hari",IF($L203&lt;=60,"31-60 hari",IF($L203&lt;=90,"61-90 hari","Lebih dari 90 hari")))))))</f>
        <v/>
      </c>
      <c r="N203" s="18" t="str">
        <f aca="false">IF($H203="","",IF($L203&lt;=0,"",$L203*1000000+ROW()))</f>
        <v/>
      </c>
    </row>
    <row r="204" customFormat="false" ht="15" hidden="false" customHeight="true" outlineLevel="0" collapsed="false">
      <c r="A204" s="18" t="str">
        <f aca="false">IF($C204="","",COUNTA($C$8:$C204))</f>
        <v/>
      </c>
      <c r="B204" s="40"/>
      <c r="C204" s="41"/>
      <c r="D204" s="19"/>
      <c r="E204" s="19"/>
      <c r="F204" s="42"/>
      <c r="G204" s="35" t="str">
        <f aca="false">IF(OR($B204="",$F204=""),"",$B204+$F204)</f>
        <v/>
      </c>
      <c r="H204" s="43"/>
      <c r="I204" s="43"/>
      <c r="J204" s="37" t="n">
        <f aca="false">IF($H204="",0,$H204-N($I204))</f>
        <v>0</v>
      </c>
      <c r="K204" s="38" t="str">
        <f aca="false">IF($H204="","",IF($J204&lt;0,"Lebih Bayar",IF($J204=0,"Lunas",IF(N($I204)&gt;0,"Bayar Sebagian","Belum Bayar"))))</f>
        <v/>
      </c>
      <c r="L204" s="39" t="n">
        <f aca="true">IF(OR($H204="",$G204=""),0,IF($J204&lt;=0,0,TODAY()-$G204))</f>
        <v>0</v>
      </c>
      <c r="M204" s="38" t="str">
        <f aca="false">IF($H204="","",IF($J204&lt;0,"Lebih Bayar",IF($J204=0,"Lunas",IF($L204&lt;=0,"Belum Jatuh Tempo",IF($L204&lt;=30,"1-30 hari",IF($L204&lt;=60,"31-60 hari",IF($L204&lt;=90,"61-90 hari","Lebih dari 90 hari")))))))</f>
        <v/>
      </c>
      <c r="N204" s="18" t="str">
        <f aca="false">IF($H204="","",IF($L204&lt;=0,"",$L204*1000000+ROW()))</f>
        <v/>
      </c>
    </row>
    <row r="205" customFormat="false" ht="15" hidden="false" customHeight="true" outlineLevel="0" collapsed="false">
      <c r="A205" s="18" t="str">
        <f aca="false">IF($C205="","",COUNTA($C$8:$C205))</f>
        <v/>
      </c>
      <c r="B205" s="44"/>
      <c r="C205" s="45"/>
      <c r="D205" s="46"/>
      <c r="E205" s="46"/>
      <c r="F205" s="47"/>
      <c r="G205" s="35" t="str">
        <f aca="false">IF(OR($B205="",$F205=""),"",$B205+$F205)</f>
        <v/>
      </c>
      <c r="H205" s="48"/>
      <c r="I205" s="48"/>
      <c r="J205" s="37" t="n">
        <f aca="false">IF($H205="",0,$H205-N($I205))</f>
        <v>0</v>
      </c>
      <c r="K205" s="38" t="str">
        <f aca="false">IF($H205="","",IF($J205&lt;0,"Lebih Bayar",IF($J205=0,"Lunas",IF(N($I205)&gt;0,"Bayar Sebagian","Belum Bayar"))))</f>
        <v/>
      </c>
      <c r="L205" s="39" t="n">
        <f aca="true">IF(OR($H205="",$G205=""),0,IF($J205&lt;=0,0,TODAY()-$G205))</f>
        <v>0</v>
      </c>
      <c r="M205" s="38" t="str">
        <f aca="false">IF($H205="","",IF($J205&lt;0,"Lebih Bayar",IF($J205=0,"Lunas",IF($L205&lt;=0,"Belum Jatuh Tempo",IF($L205&lt;=30,"1-30 hari",IF($L205&lt;=60,"31-60 hari",IF($L205&lt;=90,"61-90 hari","Lebih dari 90 hari")))))))</f>
        <v/>
      </c>
      <c r="N205" s="18" t="str">
        <f aca="false">IF($H205="","",IF($L205&lt;=0,"",$L205*1000000+ROW()))</f>
        <v/>
      </c>
    </row>
    <row r="206" customFormat="false" ht="15" hidden="false" customHeight="true" outlineLevel="0" collapsed="false">
      <c r="A206" s="18" t="str">
        <f aca="false">IF($C206="","",COUNTA($C$8:$C206))</f>
        <v/>
      </c>
      <c r="B206" s="40"/>
      <c r="C206" s="41"/>
      <c r="D206" s="19"/>
      <c r="E206" s="19"/>
      <c r="F206" s="42"/>
      <c r="G206" s="35" t="str">
        <f aca="false">IF(OR($B206="",$F206=""),"",$B206+$F206)</f>
        <v/>
      </c>
      <c r="H206" s="43"/>
      <c r="I206" s="43"/>
      <c r="J206" s="37" t="n">
        <f aca="false">IF($H206="",0,$H206-N($I206))</f>
        <v>0</v>
      </c>
      <c r="K206" s="38" t="str">
        <f aca="false">IF($H206="","",IF($J206&lt;0,"Lebih Bayar",IF($J206=0,"Lunas",IF(N($I206)&gt;0,"Bayar Sebagian","Belum Bayar"))))</f>
        <v/>
      </c>
      <c r="L206" s="39" t="n">
        <f aca="true">IF(OR($H206="",$G206=""),0,IF($J206&lt;=0,0,TODAY()-$G206))</f>
        <v>0</v>
      </c>
      <c r="M206" s="38" t="str">
        <f aca="false">IF($H206="","",IF($J206&lt;0,"Lebih Bayar",IF($J206=0,"Lunas",IF($L206&lt;=0,"Belum Jatuh Tempo",IF($L206&lt;=30,"1-30 hari",IF($L206&lt;=60,"31-60 hari",IF($L206&lt;=90,"61-90 hari","Lebih dari 90 hari")))))))</f>
        <v/>
      </c>
      <c r="N206" s="18" t="str">
        <f aca="false">IF($H206="","",IF($L206&lt;=0,"",$L206*1000000+ROW()))</f>
        <v/>
      </c>
    </row>
    <row r="207" customFormat="false" ht="15" hidden="false" customHeight="true" outlineLevel="0" collapsed="false">
      <c r="A207" s="18" t="str">
        <f aca="false">IF($C207="","",COUNTA($C$8:$C207))</f>
        <v/>
      </c>
      <c r="B207" s="44"/>
      <c r="C207" s="45"/>
      <c r="D207" s="46"/>
      <c r="E207" s="46"/>
      <c r="F207" s="47"/>
      <c r="G207" s="35" t="str">
        <f aca="false">IF(OR($B207="",$F207=""),"",$B207+$F207)</f>
        <v/>
      </c>
      <c r="H207" s="48"/>
      <c r="I207" s="48"/>
      <c r="J207" s="37" t="n">
        <f aca="false">IF($H207="",0,$H207-N($I207))</f>
        <v>0</v>
      </c>
      <c r="K207" s="38" t="str">
        <f aca="false">IF($H207="","",IF($J207&lt;0,"Lebih Bayar",IF($J207=0,"Lunas",IF(N($I207)&gt;0,"Bayar Sebagian","Belum Bayar"))))</f>
        <v/>
      </c>
      <c r="L207" s="39" t="n">
        <f aca="true">IF(OR($H207="",$G207=""),0,IF($J207&lt;=0,0,TODAY()-$G207))</f>
        <v>0</v>
      </c>
      <c r="M207" s="38" t="str">
        <f aca="false">IF($H207="","",IF($J207&lt;0,"Lebih Bayar",IF($J207=0,"Lunas",IF($L207&lt;=0,"Belum Jatuh Tempo",IF($L207&lt;=30,"1-30 hari",IF($L207&lt;=60,"31-60 hari",IF($L207&lt;=90,"61-90 hari","Lebih dari 90 hari")))))))</f>
        <v/>
      </c>
      <c r="N207" s="18" t="str">
        <f aca="false">IF($H207="","",IF($L207&lt;=0,"",$L207*1000000+ROW()))</f>
        <v/>
      </c>
    </row>
    <row r="208" customFormat="false" ht="15" hidden="false" customHeight="true" outlineLevel="0" collapsed="false">
      <c r="A208" s="18" t="str">
        <f aca="false">IF($C208="","",COUNTA($C$8:$C208))</f>
        <v/>
      </c>
      <c r="B208" s="40"/>
      <c r="C208" s="41"/>
      <c r="D208" s="19"/>
      <c r="E208" s="19"/>
      <c r="F208" s="42"/>
      <c r="G208" s="35" t="str">
        <f aca="false">IF(OR($B208="",$F208=""),"",$B208+$F208)</f>
        <v/>
      </c>
      <c r="H208" s="43"/>
      <c r="I208" s="43"/>
      <c r="J208" s="37" t="n">
        <f aca="false">IF($H208="",0,$H208-N($I208))</f>
        <v>0</v>
      </c>
      <c r="K208" s="38" t="str">
        <f aca="false">IF($H208="","",IF($J208&lt;0,"Lebih Bayar",IF($J208=0,"Lunas",IF(N($I208)&gt;0,"Bayar Sebagian","Belum Bayar"))))</f>
        <v/>
      </c>
      <c r="L208" s="39" t="n">
        <f aca="true">IF(OR($H208="",$G208=""),0,IF($J208&lt;=0,0,TODAY()-$G208))</f>
        <v>0</v>
      </c>
      <c r="M208" s="38" t="str">
        <f aca="false">IF($H208="","",IF($J208&lt;0,"Lebih Bayar",IF($J208=0,"Lunas",IF($L208&lt;=0,"Belum Jatuh Tempo",IF($L208&lt;=30,"1-30 hari",IF($L208&lt;=60,"31-60 hari",IF($L208&lt;=90,"61-90 hari","Lebih dari 90 hari")))))))</f>
        <v/>
      </c>
      <c r="N208" s="18" t="str">
        <f aca="false">IF($H208="","",IF($L208&lt;=0,"",$L208*1000000+ROW()))</f>
        <v/>
      </c>
    </row>
    <row r="209" customFormat="false" ht="15" hidden="false" customHeight="true" outlineLevel="0" collapsed="false">
      <c r="A209" s="18" t="str">
        <f aca="false">IF($C209="","",COUNTA($C$8:$C209))</f>
        <v/>
      </c>
      <c r="B209" s="44"/>
      <c r="C209" s="45"/>
      <c r="D209" s="46"/>
      <c r="E209" s="46"/>
      <c r="F209" s="47"/>
      <c r="G209" s="35" t="str">
        <f aca="false">IF(OR($B209="",$F209=""),"",$B209+$F209)</f>
        <v/>
      </c>
      <c r="H209" s="48"/>
      <c r="I209" s="48"/>
      <c r="J209" s="37" t="n">
        <f aca="false">IF($H209="",0,$H209-N($I209))</f>
        <v>0</v>
      </c>
      <c r="K209" s="38" t="str">
        <f aca="false">IF($H209="","",IF($J209&lt;0,"Lebih Bayar",IF($J209=0,"Lunas",IF(N($I209)&gt;0,"Bayar Sebagian","Belum Bayar"))))</f>
        <v/>
      </c>
      <c r="L209" s="39" t="n">
        <f aca="true">IF(OR($H209="",$G209=""),0,IF($J209&lt;=0,0,TODAY()-$G209))</f>
        <v>0</v>
      </c>
      <c r="M209" s="38" t="str">
        <f aca="false">IF($H209="","",IF($J209&lt;0,"Lebih Bayar",IF($J209=0,"Lunas",IF($L209&lt;=0,"Belum Jatuh Tempo",IF($L209&lt;=30,"1-30 hari",IF($L209&lt;=60,"31-60 hari",IF($L209&lt;=90,"61-90 hari","Lebih dari 90 hari")))))))</f>
        <v/>
      </c>
      <c r="N209" s="18" t="str">
        <f aca="false">IF($H209="","",IF($L209&lt;=0,"",$L209*1000000+ROW()))</f>
        <v/>
      </c>
    </row>
    <row r="210" customFormat="false" ht="15" hidden="false" customHeight="true" outlineLevel="0" collapsed="false">
      <c r="A210" s="18" t="str">
        <f aca="false">IF($C210="","",COUNTA($C$8:$C210))</f>
        <v/>
      </c>
      <c r="B210" s="40"/>
      <c r="C210" s="41"/>
      <c r="D210" s="19"/>
      <c r="E210" s="19"/>
      <c r="F210" s="42"/>
      <c r="G210" s="35" t="str">
        <f aca="false">IF(OR($B210="",$F210=""),"",$B210+$F210)</f>
        <v/>
      </c>
      <c r="H210" s="43"/>
      <c r="I210" s="43"/>
      <c r="J210" s="37" t="n">
        <f aca="false">IF($H210="",0,$H210-N($I210))</f>
        <v>0</v>
      </c>
      <c r="K210" s="38" t="str">
        <f aca="false">IF($H210="","",IF($J210&lt;0,"Lebih Bayar",IF($J210=0,"Lunas",IF(N($I210)&gt;0,"Bayar Sebagian","Belum Bayar"))))</f>
        <v/>
      </c>
      <c r="L210" s="39" t="n">
        <f aca="true">IF(OR($H210="",$G210=""),0,IF($J210&lt;=0,0,TODAY()-$G210))</f>
        <v>0</v>
      </c>
      <c r="M210" s="38" t="str">
        <f aca="false">IF($H210="","",IF($J210&lt;0,"Lebih Bayar",IF($J210=0,"Lunas",IF($L210&lt;=0,"Belum Jatuh Tempo",IF($L210&lt;=30,"1-30 hari",IF($L210&lt;=60,"31-60 hari",IF($L210&lt;=90,"61-90 hari","Lebih dari 90 hari")))))))</f>
        <v/>
      </c>
      <c r="N210" s="18" t="str">
        <f aca="false">IF($H210="","",IF($L210&lt;=0,"",$L210*1000000+ROW()))</f>
        <v/>
      </c>
    </row>
    <row r="211" customFormat="false" ht="15" hidden="false" customHeight="true" outlineLevel="0" collapsed="false">
      <c r="A211" s="18" t="str">
        <f aca="false">IF($C211="","",COUNTA($C$8:$C211))</f>
        <v/>
      </c>
      <c r="B211" s="44"/>
      <c r="C211" s="45"/>
      <c r="D211" s="46"/>
      <c r="E211" s="46"/>
      <c r="F211" s="47"/>
      <c r="G211" s="35" t="str">
        <f aca="false">IF(OR($B211="",$F211=""),"",$B211+$F211)</f>
        <v/>
      </c>
      <c r="H211" s="48"/>
      <c r="I211" s="48"/>
      <c r="J211" s="37" t="n">
        <f aca="false">IF($H211="",0,$H211-N($I211))</f>
        <v>0</v>
      </c>
      <c r="K211" s="38" t="str">
        <f aca="false">IF($H211="","",IF($J211&lt;0,"Lebih Bayar",IF($J211=0,"Lunas",IF(N($I211)&gt;0,"Bayar Sebagian","Belum Bayar"))))</f>
        <v/>
      </c>
      <c r="L211" s="39" t="n">
        <f aca="true">IF(OR($H211="",$G211=""),0,IF($J211&lt;=0,0,TODAY()-$G211))</f>
        <v>0</v>
      </c>
      <c r="M211" s="38" t="str">
        <f aca="false">IF($H211="","",IF($J211&lt;0,"Lebih Bayar",IF($J211=0,"Lunas",IF($L211&lt;=0,"Belum Jatuh Tempo",IF($L211&lt;=30,"1-30 hari",IF($L211&lt;=60,"31-60 hari",IF($L211&lt;=90,"61-90 hari","Lebih dari 90 hari")))))))</f>
        <v/>
      </c>
      <c r="N211" s="18" t="str">
        <f aca="false">IF($H211="","",IF($L211&lt;=0,"",$L211*1000000+ROW()))</f>
        <v/>
      </c>
    </row>
    <row r="212" customFormat="false" ht="15" hidden="false" customHeight="true" outlineLevel="0" collapsed="false">
      <c r="A212" s="18" t="str">
        <f aca="false">IF($C212="","",COUNTA($C$8:$C212))</f>
        <v/>
      </c>
      <c r="B212" s="40"/>
      <c r="C212" s="41"/>
      <c r="D212" s="19"/>
      <c r="E212" s="19"/>
      <c r="F212" s="42"/>
      <c r="G212" s="35" t="str">
        <f aca="false">IF(OR($B212="",$F212=""),"",$B212+$F212)</f>
        <v/>
      </c>
      <c r="H212" s="43"/>
      <c r="I212" s="43"/>
      <c r="J212" s="37" t="n">
        <f aca="false">IF($H212="",0,$H212-N($I212))</f>
        <v>0</v>
      </c>
      <c r="K212" s="38" t="str">
        <f aca="false">IF($H212="","",IF($J212&lt;0,"Lebih Bayar",IF($J212=0,"Lunas",IF(N($I212)&gt;0,"Bayar Sebagian","Belum Bayar"))))</f>
        <v/>
      </c>
      <c r="L212" s="39" t="n">
        <f aca="true">IF(OR($H212="",$G212=""),0,IF($J212&lt;=0,0,TODAY()-$G212))</f>
        <v>0</v>
      </c>
      <c r="M212" s="38" t="str">
        <f aca="false">IF($H212="","",IF($J212&lt;0,"Lebih Bayar",IF($J212=0,"Lunas",IF($L212&lt;=0,"Belum Jatuh Tempo",IF($L212&lt;=30,"1-30 hari",IF($L212&lt;=60,"31-60 hari",IF($L212&lt;=90,"61-90 hari","Lebih dari 90 hari")))))))</f>
        <v/>
      </c>
      <c r="N212" s="18" t="str">
        <f aca="false">IF($H212="","",IF($L212&lt;=0,"",$L212*1000000+ROW()))</f>
        <v/>
      </c>
    </row>
    <row r="213" customFormat="false" ht="15" hidden="false" customHeight="true" outlineLevel="0" collapsed="false">
      <c r="A213" s="18" t="str">
        <f aca="false">IF($C213="","",COUNTA($C$8:$C213))</f>
        <v/>
      </c>
      <c r="B213" s="44"/>
      <c r="C213" s="45"/>
      <c r="D213" s="46"/>
      <c r="E213" s="46"/>
      <c r="F213" s="47"/>
      <c r="G213" s="35" t="str">
        <f aca="false">IF(OR($B213="",$F213=""),"",$B213+$F213)</f>
        <v/>
      </c>
      <c r="H213" s="48"/>
      <c r="I213" s="48"/>
      <c r="J213" s="37" t="n">
        <f aca="false">IF($H213="",0,$H213-N($I213))</f>
        <v>0</v>
      </c>
      <c r="K213" s="38" t="str">
        <f aca="false">IF($H213="","",IF($J213&lt;0,"Lebih Bayar",IF($J213=0,"Lunas",IF(N($I213)&gt;0,"Bayar Sebagian","Belum Bayar"))))</f>
        <v/>
      </c>
      <c r="L213" s="39" t="n">
        <f aca="true">IF(OR($H213="",$G213=""),0,IF($J213&lt;=0,0,TODAY()-$G213))</f>
        <v>0</v>
      </c>
      <c r="M213" s="38" t="str">
        <f aca="false">IF($H213="","",IF($J213&lt;0,"Lebih Bayar",IF($J213=0,"Lunas",IF($L213&lt;=0,"Belum Jatuh Tempo",IF($L213&lt;=30,"1-30 hari",IF($L213&lt;=60,"31-60 hari",IF($L213&lt;=90,"61-90 hari","Lebih dari 90 hari")))))))</f>
        <v/>
      </c>
      <c r="N213" s="18" t="str">
        <f aca="false">IF($H213="","",IF($L213&lt;=0,"",$L213*1000000+ROW()))</f>
        <v/>
      </c>
    </row>
    <row r="214" customFormat="false" ht="15" hidden="false" customHeight="true" outlineLevel="0" collapsed="false">
      <c r="A214" s="18" t="str">
        <f aca="false">IF($C214="","",COUNTA($C$8:$C214))</f>
        <v/>
      </c>
      <c r="B214" s="40"/>
      <c r="C214" s="41"/>
      <c r="D214" s="19"/>
      <c r="E214" s="19"/>
      <c r="F214" s="42"/>
      <c r="G214" s="35" t="str">
        <f aca="false">IF(OR($B214="",$F214=""),"",$B214+$F214)</f>
        <v/>
      </c>
      <c r="H214" s="43"/>
      <c r="I214" s="43"/>
      <c r="J214" s="37" t="n">
        <f aca="false">IF($H214="",0,$H214-N($I214))</f>
        <v>0</v>
      </c>
      <c r="K214" s="38" t="str">
        <f aca="false">IF($H214="","",IF($J214&lt;0,"Lebih Bayar",IF($J214=0,"Lunas",IF(N($I214)&gt;0,"Bayar Sebagian","Belum Bayar"))))</f>
        <v/>
      </c>
      <c r="L214" s="39" t="n">
        <f aca="true">IF(OR($H214="",$G214=""),0,IF($J214&lt;=0,0,TODAY()-$G214))</f>
        <v>0</v>
      </c>
      <c r="M214" s="38" t="str">
        <f aca="false">IF($H214="","",IF($J214&lt;0,"Lebih Bayar",IF($J214=0,"Lunas",IF($L214&lt;=0,"Belum Jatuh Tempo",IF($L214&lt;=30,"1-30 hari",IF($L214&lt;=60,"31-60 hari",IF($L214&lt;=90,"61-90 hari","Lebih dari 90 hari")))))))</f>
        <v/>
      </c>
      <c r="N214" s="18" t="str">
        <f aca="false">IF($H214="","",IF($L214&lt;=0,"",$L214*1000000+ROW()))</f>
        <v/>
      </c>
    </row>
    <row r="215" customFormat="false" ht="15" hidden="false" customHeight="true" outlineLevel="0" collapsed="false">
      <c r="A215" s="18" t="str">
        <f aca="false">IF($C215="","",COUNTA($C$8:$C215))</f>
        <v/>
      </c>
      <c r="B215" s="44"/>
      <c r="C215" s="45"/>
      <c r="D215" s="46"/>
      <c r="E215" s="46"/>
      <c r="F215" s="47"/>
      <c r="G215" s="35" t="str">
        <f aca="false">IF(OR($B215="",$F215=""),"",$B215+$F215)</f>
        <v/>
      </c>
      <c r="H215" s="48"/>
      <c r="I215" s="48"/>
      <c r="J215" s="37" t="n">
        <f aca="false">IF($H215="",0,$H215-N($I215))</f>
        <v>0</v>
      </c>
      <c r="K215" s="38" t="str">
        <f aca="false">IF($H215="","",IF($J215&lt;0,"Lebih Bayar",IF($J215=0,"Lunas",IF(N($I215)&gt;0,"Bayar Sebagian","Belum Bayar"))))</f>
        <v/>
      </c>
      <c r="L215" s="39" t="n">
        <f aca="true">IF(OR($H215="",$G215=""),0,IF($J215&lt;=0,0,TODAY()-$G215))</f>
        <v>0</v>
      </c>
      <c r="M215" s="38" t="str">
        <f aca="false">IF($H215="","",IF($J215&lt;0,"Lebih Bayar",IF($J215=0,"Lunas",IF($L215&lt;=0,"Belum Jatuh Tempo",IF($L215&lt;=30,"1-30 hari",IF($L215&lt;=60,"31-60 hari",IF($L215&lt;=90,"61-90 hari","Lebih dari 90 hari")))))))</f>
        <v/>
      </c>
      <c r="N215" s="18" t="str">
        <f aca="false">IF($H215="","",IF($L215&lt;=0,"",$L215*1000000+ROW()))</f>
        <v/>
      </c>
    </row>
    <row r="216" customFormat="false" ht="15" hidden="false" customHeight="true" outlineLevel="0" collapsed="false">
      <c r="A216" s="18" t="str">
        <f aca="false">IF($C216="","",COUNTA($C$8:$C216))</f>
        <v/>
      </c>
      <c r="B216" s="40"/>
      <c r="C216" s="41"/>
      <c r="D216" s="19"/>
      <c r="E216" s="19"/>
      <c r="F216" s="42"/>
      <c r="G216" s="35" t="str">
        <f aca="false">IF(OR($B216="",$F216=""),"",$B216+$F216)</f>
        <v/>
      </c>
      <c r="H216" s="43"/>
      <c r="I216" s="43"/>
      <c r="J216" s="37" t="n">
        <f aca="false">IF($H216="",0,$H216-N($I216))</f>
        <v>0</v>
      </c>
      <c r="K216" s="38" t="str">
        <f aca="false">IF($H216="","",IF($J216&lt;0,"Lebih Bayar",IF($J216=0,"Lunas",IF(N($I216)&gt;0,"Bayar Sebagian","Belum Bayar"))))</f>
        <v/>
      </c>
      <c r="L216" s="39" t="n">
        <f aca="true">IF(OR($H216="",$G216=""),0,IF($J216&lt;=0,0,TODAY()-$G216))</f>
        <v>0</v>
      </c>
      <c r="M216" s="38" t="str">
        <f aca="false">IF($H216="","",IF($J216&lt;0,"Lebih Bayar",IF($J216=0,"Lunas",IF($L216&lt;=0,"Belum Jatuh Tempo",IF($L216&lt;=30,"1-30 hari",IF($L216&lt;=60,"31-60 hari",IF($L216&lt;=90,"61-90 hari","Lebih dari 90 hari")))))))</f>
        <v/>
      </c>
      <c r="N216" s="18" t="str">
        <f aca="false">IF($H216="","",IF($L216&lt;=0,"",$L216*1000000+ROW()))</f>
        <v/>
      </c>
    </row>
    <row r="217" customFormat="false" ht="15" hidden="false" customHeight="true" outlineLevel="0" collapsed="false">
      <c r="A217" s="18" t="str">
        <f aca="false">IF($C217="","",COUNTA($C$8:$C217))</f>
        <v/>
      </c>
      <c r="B217" s="44"/>
      <c r="C217" s="45"/>
      <c r="D217" s="46"/>
      <c r="E217" s="46"/>
      <c r="F217" s="47"/>
      <c r="G217" s="35" t="str">
        <f aca="false">IF(OR($B217="",$F217=""),"",$B217+$F217)</f>
        <v/>
      </c>
      <c r="H217" s="48"/>
      <c r="I217" s="48"/>
      <c r="J217" s="37" t="n">
        <f aca="false">IF($H217="",0,$H217-N($I217))</f>
        <v>0</v>
      </c>
      <c r="K217" s="38" t="str">
        <f aca="false">IF($H217="","",IF($J217&lt;0,"Lebih Bayar",IF($J217=0,"Lunas",IF(N($I217)&gt;0,"Bayar Sebagian","Belum Bayar"))))</f>
        <v/>
      </c>
      <c r="L217" s="39" t="n">
        <f aca="true">IF(OR($H217="",$G217=""),0,IF($J217&lt;=0,0,TODAY()-$G217))</f>
        <v>0</v>
      </c>
      <c r="M217" s="38" t="str">
        <f aca="false">IF($H217="","",IF($J217&lt;0,"Lebih Bayar",IF($J217=0,"Lunas",IF($L217&lt;=0,"Belum Jatuh Tempo",IF($L217&lt;=30,"1-30 hari",IF($L217&lt;=60,"31-60 hari",IF($L217&lt;=90,"61-90 hari","Lebih dari 90 hari")))))))</f>
        <v/>
      </c>
      <c r="N217" s="18" t="str">
        <f aca="false">IF($H217="","",IF($L217&lt;=0,"",$L217*1000000+ROW()))</f>
        <v/>
      </c>
    </row>
    <row r="218" customFormat="false" ht="15" hidden="false" customHeight="true" outlineLevel="0" collapsed="false">
      <c r="A218" s="18" t="str">
        <f aca="false">IF($C218="","",COUNTA($C$8:$C218))</f>
        <v/>
      </c>
      <c r="B218" s="40"/>
      <c r="C218" s="41"/>
      <c r="D218" s="19"/>
      <c r="E218" s="19"/>
      <c r="F218" s="42"/>
      <c r="G218" s="35" t="str">
        <f aca="false">IF(OR($B218="",$F218=""),"",$B218+$F218)</f>
        <v/>
      </c>
      <c r="H218" s="43"/>
      <c r="I218" s="43"/>
      <c r="J218" s="37" t="n">
        <f aca="false">IF($H218="",0,$H218-N($I218))</f>
        <v>0</v>
      </c>
      <c r="K218" s="38" t="str">
        <f aca="false">IF($H218="","",IF($J218&lt;0,"Lebih Bayar",IF($J218=0,"Lunas",IF(N($I218)&gt;0,"Bayar Sebagian","Belum Bayar"))))</f>
        <v/>
      </c>
      <c r="L218" s="39" t="n">
        <f aca="true">IF(OR($H218="",$G218=""),0,IF($J218&lt;=0,0,TODAY()-$G218))</f>
        <v>0</v>
      </c>
      <c r="M218" s="38" t="str">
        <f aca="false">IF($H218="","",IF($J218&lt;0,"Lebih Bayar",IF($J218=0,"Lunas",IF($L218&lt;=0,"Belum Jatuh Tempo",IF($L218&lt;=30,"1-30 hari",IF($L218&lt;=60,"31-60 hari",IF($L218&lt;=90,"61-90 hari","Lebih dari 90 hari")))))))</f>
        <v/>
      </c>
      <c r="N218" s="18" t="str">
        <f aca="false">IF($H218="","",IF($L218&lt;=0,"",$L218*1000000+ROW()))</f>
        <v/>
      </c>
    </row>
    <row r="219" customFormat="false" ht="15" hidden="false" customHeight="true" outlineLevel="0" collapsed="false">
      <c r="A219" s="18" t="str">
        <f aca="false">IF($C219="","",COUNTA($C$8:$C219))</f>
        <v/>
      </c>
      <c r="B219" s="44"/>
      <c r="C219" s="45"/>
      <c r="D219" s="46"/>
      <c r="E219" s="46"/>
      <c r="F219" s="47"/>
      <c r="G219" s="35" t="str">
        <f aca="false">IF(OR($B219="",$F219=""),"",$B219+$F219)</f>
        <v/>
      </c>
      <c r="H219" s="48"/>
      <c r="I219" s="48"/>
      <c r="J219" s="37" t="n">
        <f aca="false">IF($H219="",0,$H219-N($I219))</f>
        <v>0</v>
      </c>
      <c r="K219" s="38" t="str">
        <f aca="false">IF($H219="","",IF($J219&lt;0,"Lebih Bayar",IF($J219=0,"Lunas",IF(N($I219)&gt;0,"Bayar Sebagian","Belum Bayar"))))</f>
        <v/>
      </c>
      <c r="L219" s="39" t="n">
        <f aca="true">IF(OR($H219="",$G219=""),0,IF($J219&lt;=0,0,TODAY()-$G219))</f>
        <v>0</v>
      </c>
      <c r="M219" s="38" t="str">
        <f aca="false">IF($H219="","",IF($J219&lt;0,"Lebih Bayar",IF($J219=0,"Lunas",IF($L219&lt;=0,"Belum Jatuh Tempo",IF($L219&lt;=30,"1-30 hari",IF($L219&lt;=60,"31-60 hari",IF($L219&lt;=90,"61-90 hari","Lebih dari 90 hari")))))))</f>
        <v/>
      </c>
      <c r="N219" s="18" t="str">
        <f aca="false">IF($H219="","",IF($L219&lt;=0,"",$L219*1000000+ROW()))</f>
        <v/>
      </c>
    </row>
    <row r="220" customFormat="false" ht="15" hidden="false" customHeight="true" outlineLevel="0" collapsed="false">
      <c r="A220" s="18" t="str">
        <f aca="false">IF($C220="","",COUNTA($C$8:$C220))</f>
        <v/>
      </c>
      <c r="B220" s="40"/>
      <c r="C220" s="41"/>
      <c r="D220" s="19"/>
      <c r="E220" s="19"/>
      <c r="F220" s="42"/>
      <c r="G220" s="35" t="str">
        <f aca="false">IF(OR($B220="",$F220=""),"",$B220+$F220)</f>
        <v/>
      </c>
      <c r="H220" s="43"/>
      <c r="I220" s="43"/>
      <c r="J220" s="37" t="n">
        <f aca="false">IF($H220="",0,$H220-N($I220))</f>
        <v>0</v>
      </c>
      <c r="K220" s="38" t="str">
        <f aca="false">IF($H220="","",IF($J220&lt;0,"Lebih Bayar",IF($J220=0,"Lunas",IF(N($I220)&gt;0,"Bayar Sebagian","Belum Bayar"))))</f>
        <v/>
      </c>
      <c r="L220" s="39" t="n">
        <f aca="true">IF(OR($H220="",$G220=""),0,IF($J220&lt;=0,0,TODAY()-$G220))</f>
        <v>0</v>
      </c>
      <c r="M220" s="38" t="str">
        <f aca="false">IF($H220="","",IF($J220&lt;0,"Lebih Bayar",IF($J220=0,"Lunas",IF($L220&lt;=0,"Belum Jatuh Tempo",IF($L220&lt;=30,"1-30 hari",IF($L220&lt;=60,"31-60 hari",IF($L220&lt;=90,"61-90 hari","Lebih dari 90 hari")))))))</f>
        <v/>
      </c>
      <c r="N220" s="18" t="str">
        <f aca="false">IF($H220="","",IF($L220&lt;=0,"",$L220*1000000+ROW()))</f>
        <v/>
      </c>
    </row>
    <row r="221" customFormat="false" ht="15" hidden="false" customHeight="true" outlineLevel="0" collapsed="false">
      <c r="A221" s="18" t="str">
        <f aca="false">IF($C221="","",COUNTA($C$8:$C221))</f>
        <v/>
      </c>
      <c r="B221" s="44"/>
      <c r="C221" s="45"/>
      <c r="D221" s="46"/>
      <c r="E221" s="46"/>
      <c r="F221" s="47"/>
      <c r="G221" s="35" t="str">
        <f aca="false">IF(OR($B221="",$F221=""),"",$B221+$F221)</f>
        <v/>
      </c>
      <c r="H221" s="48"/>
      <c r="I221" s="48"/>
      <c r="J221" s="37" t="n">
        <f aca="false">IF($H221="",0,$H221-N($I221))</f>
        <v>0</v>
      </c>
      <c r="K221" s="38" t="str">
        <f aca="false">IF($H221="","",IF($J221&lt;0,"Lebih Bayar",IF($J221=0,"Lunas",IF(N($I221)&gt;0,"Bayar Sebagian","Belum Bayar"))))</f>
        <v/>
      </c>
      <c r="L221" s="39" t="n">
        <f aca="true">IF(OR($H221="",$G221=""),0,IF($J221&lt;=0,0,TODAY()-$G221))</f>
        <v>0</v>
      </c>
      <c r="M221" s="38" t="str">
        <f aca="false">IF($H221="","",IF($J221&lt;0,"Lebih Bayar",IF($J221=0,"Lunas",IF($L221&lt;=0,"Belum Jatuh Tempo",IF($L221&lt;=30,"1-30 hari",IF($L221&lt;=60,"31-60 hari",IF($L221&lt;=90,"61-90 hari","Lebih dari 90 hari")))))))</f>
        <v/>
      </c>
      <c r="N221" s="18" t="str">
        <f aca="false">IF($H221="","",IF($L221&lt;=0,"",$L221*1000000+ROW()))</f>
        <v/>
      </c>
    </row>
    <row r="222" customFormat="false" ht="15" hidden="false" customHeight="true" outlineLevel="0" collapsed="false">
      <c r="A222" s="18" t="str">
        <f aca="false">IF($C222="","",COUNTA($C$8:$C222))</f>
        <v/>
      </c>
      <c r="B222" s="40"/>
      <c r="C222" s="41"/>
      <c r="D222" s="19"/>
      <c r="E222" s="19"/>
      <c r="F222" s="42"/>
      <c r="G222" s="35" t="str">
        <f aca="false">IF(OR($B222="",$F222=""),"",$B222+$F222)</f>
        <v/>
      </c>
      <c r="H222" s="43"/>
      <c r="I222" s="43"/>
      <c r="J222" s="37" t="n">
        <f aca="false">IF($H222="",0,$H222-N($I222))</f>
        <v>0</v>
      </c>
      <c r="K222" s="38" t="str">
        <f aca="false">IF($H222="","",IF($J222&lt;0,"Lebih Bayar",IF($J222=0,"Lunas",IF(N($I222)&gt;0,"Bayar Sebagian","Belum Bayar"))))</f>
        <v/>
      </c>
      <c r="L222" s="39" t="n">
        <f aca="true">IF(OR($H222="",$G222=""),0,IF($J222&lt;=0,0,TODAY()-$G222))</f>
        <v>0</v>
      </c>
      <c r="M222" s="38" t="str">
        <f aca="false">IF($H222="","",IF($J222&lt;0,"Lebih Bayar",IF($J222=0,"Lunas",IF($L222&lt;=0,"Belum Jatuh Tempo",IF($L222&lt;=30,"1-30 hari",IF($L222&lt;=60,"31-60 hari",IF($L222&lt;=90,"61-90 hari","Lebih dari 90 hari")))))))</f>
        <v/>
      </c>
      <c r="N222" s="18" t="str">
        <f aca="false">IF($H222="","",IF($L222&lt;=0,"",$L222*1000000+ROW()))</f>
        <v/>
      </c>
    </row>
    <row r="223" customFormat="false" ht="15" hidden="false" customHeight="true" outlineLevel="0" collapsed="false">
      <c r="A223" s="18" t="str">
        <f aca="false">IF($C223="","",COUNTA($C$8:$C223))</f>
        <v/>
      </c>
      <c r="B223" s="44"/>
      <c r="C223" s="45"/>
      <c r="D223" s="46"/>
      <c r="E223" s="46"/>
      <c r="F223" s="47"/>
      <c r="G223" s="35" t="str">
        <f aca="false">IF(OR($B223="",$F223=""),"",$B223+$F223)</f>
        <v/>
      </c>
      <c r="H223" s="48"/>
      <c r="I223" s="48"/>
      <c r="J223" s="37" t="n">
        <f aca="false">IF($H223="",0,$H223-N($I223))</f>
        <v>0</v>
      </c>
      <c r="K223" s="38" t="str">
        <f aca="false">IF($H223="","",IF($J223&lt;0,"Lebih Bayar",IF($J223=0,"Lunas",IF(N($I223)&gt;0,"Bayar Sebagian","Belum Bayar"))))</f>
        <v/>
      </c>
      <c r="L223" s="39" t="n">
        <f aca="true">IF(OR($H223="",$G223=""),0,IF($J223&lt;=0,0,TODAY()-$G223))</f>
        <v>0</v>
      </c>
      <c r="M223" s="38" t="str">
        <f aca="false">IF($H223="","",IF($J223&lt;0,"Lebih Bayar",IF($J223=0,"Lunas",IF($L223&lt;=0,"Belum Jatuh Tempo",IF($L223&lt;=30,"1-30 hari",IF($L223&lt;=60,"31-60 hari",IF($L223&lt;=90,"61-90 hari","Lebih dari 90 hari")))))))</f>
        <v/>
      </c>
      <c r="N223" s="18" t="str">
        <f aca="false">IF($H223="","",IF($L223&lt;=0,"",$L223*1000000+ROW()))</f>
        <v/>
      </c>
    </row>
    <row r="224" customFormat="false" ht="15" hidden="false" customHeight="true" outlineLevel="0" collapsed="false">
      <c r="A224" s="18" t="str">
        <f aca="false">IF($C224="","",COUNTA($C$8:$C224))</f>
        <v/>
      </c>
      <c r="B224" s="40"/>
      <c r="C224" s="41"/>
      <c r="D224" s="19"/>
      <c r="E224" s="19"/>
      <c r="F224" s="42"/>
      <c r="G224" s="35" t="str">
        <f aca="false">IF(OR($B224="",$F224=""),"",$B224+$F224)</f>
        <v/>
      </c>
      <c r="H224" s="43"/>
      <c r="I224" s="43"/>
      <c r="J224" s="37" t="n">
        <f aca="false">IF($H224="",0,$H224-N($I224))</f>
        <v>0</v>
      </c>
      <c r="K224" s="38" t="str">
        <f aca="false">IF($H224="","",IF($J224&lt;0,"Lebih Bayar",IF($J224=0,"Lunas",IF(N($I224)&gt;0,"Bayar Sebagian","Belum Bayar"))))</f>
        <v/>
      </c>
      <c r="L224" s="39" t="n">
        <f aca="true">IF(OR($H224="",$G224=""),0,IF($J224&lt;=0,0,TODAY()-$G224))</f>
        <v>0</v>
      </c>
      <c r="M224" s="38" t="str">
        <f aca="false">IF($H224="","",IF($J224&lt;0,"Lebih Bayar",IF($J224=0,"Lunas",IF($L224&lt;=0,"Belum Jatuh Tempo",IF($L224&lt;=30,"1-30 hari",IF($L224&lt;=60,"31-60 hari",IF($L224&lt;=90,"61-90 hari","Lebih dari 90 hari")))))))</f>
        <v/>
      </c>
      <c r="N224" s="18" t="str">
        <f aca="false">IF($H224="","",IF($L224&lt;=0,"",$L224*1000000+ROW()))</f>
        <v/>
      </c>
    </row>
    <row r="225" customFormat="false" ht="15" hidden="false" customHeight="true" outlineLevel="0" collapsed="false">
      <c r="A225" s="18" t="str">
        <f aca="false">IF($C225="","",COUNTA($C$8:$C225))</f>
        <v/>
      </c>
      <c r="B225" s="44"/>
      <c r="C225" s="45"/>
      <c r="D225" s="46"/>
      <c r="E225" s="46"/>
      <c r="F225" s="47"/>
      <c r="G225" s="35" t="str">
        <f aca="false">IF(OR($B225="",$F225=""),"",$B225+$F225)</f>
        <v/>
      </c>
      <c r="H225" s="48"/>
      <c r="I225" s="48"/>
      <c r="J225" s="37" t="n">
        <f aca="false">IF($H225="",0,$H225-N($I225))</f>
        <v>0</v>
      </c>
      <c r="K225" s="38" t="str">
        <f aca="false">IF($H225="","",IF($J225&lt;0,"Lebih Bayar",IF($J225=0,"Lunas",IF(N($I225)&gt;0,"Bayar Sebagian","Belum Bayar"))))</f>
        <v/>
      </c>
      <c r="L225" s="39" t="n">
        <f aca="true">IF(OR($H225="",$G225=""),0,IF($J225&lt;=0,0,TODAY()-$G225))</f>
        <v>0</v>
      </c>
      <c r="M225" s="38" t="str">
        <f aca="false">IF($H225="","",IF($J225&lt;0,"Lebih Bayar",IF($J225=0,"Lunas",IF($L225&lt;=0,"Belum Jatuh Tempo",IF($L225&lt;=30,"1-30 hari",IF($L225&lt;=60,"31-60 hari",IF($L225&lt;=90,"61-90 hari","Lebih dari 90 hari")))))))</f>
        <v/>
      </c>
      <c r="N225" s="18" t="str">
        <f aca="false">IF($H225="","",IF($L225&lt;=0,"",$L225*1000000+ROW()))</f>
        <v/>
      </c>
    </row>
    <row r="226" customFormat="false" ht="15" hidden="false" customHeight="true" outlineLevel="0" collapsed="false">
      <c r="A226" s="18" t="str">
        <f aca="false">IF($C226="","",COUNTA($C$8:$C226))</f>
        <v/>
      </c>
      <c r="B226" s="40"/>
      <c r="C226" s="41"/>
      <c r="D226" s="19"/>
      <c r="E226" s="19"/>
      <c r="F226" s="42"/>
      <c r="G226" s="35" t="str">
        <f aca="false">IF(OR($B226="",$F226=""),"",$B226+$F226)</f>
        <v/>
      </c>
      <c r="H226" s="43"/>
      <c r="I226" s="43"/>
      <c r="J226" s="37" t="n">
        <f aca="false">IF($H226="",0,$H226-N($I226))</f>
        <v>0</v>
      </c>
      <c r="K226" s="38" t="str">
        <f aca="false">IF($H226="","",IF($J226&lt;0,"Lebih Bayar",IF($J226=0,"Lunas",IF(N($I226)&gt;0,"Bayar Sebagian","Belum Bayar"))))</f>
        <v/>
      </c>
      <c r="L226" s="39" t="n">
        <f aca="true">IF(OR($H226="",$G226=""),0,IF($J226&lt;=0,0,TODAY()-$G226))</f>
        <v>0</v>
      </c>
      <c r="M226" s="38" t="str">
        <f aca="false">IF($H226="","",IF($J226&lt;0,"Lebih Bayar",IF($J226=0,"Lunas",IF($L226&lt;=0,"Belum Jatuh Tempo",IF($L226&lt;=30,"1-30 hari",IF($L226&lt;=60,"31-60 hari",IF($L226&lt;=90,"61-90 hari","Lebih dari 90 hari")))))))</f>
        <v/>
      </c>
      <c r="N226" s="18" t="str">
        <f aca="false">IF($H226="","",IF($L226&lt;=0,"",$L226*1000000+ROW()))</f>
        <v/>
      </c>
    </row>
    <row r="227" customFormat="false" ht="15" hidden="false" customHeight="true" outlineLevel="0" collapsed="false">
      <c r="A227" s="18" t="str">
        <f aca="false">IF($C227="","",COUNTA($C$8:$C227))</f>
        <v/>
      </c>
      <c r="B227" s="44"/>
      <c r="C227" s="45"/>
      <c r="D227" s="46"/>
      <c r="E227" s="46"/>
      <c r="F227" s="47"/>
      <c r="G227" s="35" t="str">
        <f aca="false">IF(OR($B227="",$F227=""),"",$B227+$F227)</f>
        <v/>
      </c>
      <c r="H227" s="48"/>
      <c r="I227" s="48"/>
      <c r="J227" s="37" t="n">
        <f aca="false">IF($H227="",0,$H227-N($I227))</f>
        <v>0</v>
      </c>
      <c r="K227" s="38" t="str">
        <f aca="false">IF($H227="","",IF($J227&lt;0,"Lebih Bayar",IF($J227=0,"Lunas",IF(N($I227)&gt;0,"Bayar Sebagian","Belum Bayar"))))</f>
        <v/>
      </c>
      <c r="L227" s="39" t="n">
        <f aca="true">IF(OR($H227="",$G227=""),0,IF($J227&lt;=0,0,TODAY()-$G227))</f>
        <v>0</v>
      </c>
      <c r="M227" s="38" t="str">
        <f aca="false">IF($H227="","",IF($J227&lt;0,"Lebih Bayar",IF($J227=0,"Lunas",IF($L227&lt;=0,"Belum Jatuh Tempo",IF($L227&lt;=30,"1-30 hari",IF($L227&lt;=60,"31-60 hari",IF($L227&lt;=90,"61-90 hari","Lebih dari 90 hari")))))))</f>
        <v/>
      </c>
      <c r="N227" s="18" t="str">
        <f aca="false">IF($H227="","",IF($L227&lt;=0,"",$L227*1000000+ROW()))</f>
        <v/>
      </c>
    </row>
    <row r="228" customFormat="false" ht="15" hidden="false" customHeight="true" outlineLevel="0" collapsed="false">
      <c r="A228" s="18" t="str">
        <f aca="false">IF($C228="","",COUNTA($C$8:$C228))</f>
        <v/>
      </c>
      <c r="B228" s="40"/>
      <c r="C228" s="41"/>
      <c r="D228" s="19"/>
      <c r="E228" s="19"/>
      <c r="F228" s="42"/>
      <c r="G228" s="35" t="str">
        <f aca="false">IF(OR($B228="",$F228=""),"",$B228+$F228)</f>
        <v/>
      </c>
      <c r="H228" s="43"/>
      <c r="I228" s="43"/>
      <c r="J228" s="37" t="n">
        <f aca="false">IF($H228="",0,$H228-N($I228))</f>
        <v>0</v>
      </c>
      <c r="K228" s="38" t="str">
        <f aca="false">IF($H228="","",IF($J228&lt;0,"Lebih Bayar",IF($J228=0,"Lunas",IF(N($I228)&gt;0,"Bayar Sebagian","Belum Bayar"))))</f>
        <v/>
      </c>
      <c r="L228" s="39" t="n">
        <f aca="true">IF(OR($H228="",$G228=""),0,IF($J228&lt;=0,0,TODAY()-$G228))</f>
        <v>0</v>
      </c>
      <c r="M228" s="38" t="str">
        <f aca="false">IF($H228="","",IF($J228&lt;0,"Lebih Bayar",IF($J228=0,"Lunas",IF($L228&lt;=0,"Belum Jatuh Tempo",IF($L228&lt;=30,"1-30 hari",IF($L228&lt;=60,"31-60 hari",IF($L228&lt;=90,"61-90 hari","Lebih dari 90 hari")))))))</f>
        <v/>
      </c>
      <c r="N228" s="18" t="str">
        <f aca="false">IF($H228="","",IF($L228&lt;=0,"",$L228*1000000+ROW()))</f>
        <v/>
      </c>
    </row>
    <row r="229" customFormat="false" ht="15" hidden="false" customHeight="true" outlineLevel="0" collapsed="false">
      <c r="A229" s="18" t="str">
        <f aca="false">IF($C229="","",COUNTA($C$8:$C229))</f>
        <v/>
      </c>
      <c r="B229" s="44"/>
      <c r="C229" s="45"/>
      <c r="D229" s="46"/>
      <c r="E229" s="46"/>
      <c r="F229" s="47"/>
      <c r="G229" s="35" t="str">
        <f aca="false">IF(OR($B229="",$F229=""),"",$B229+$F229)</f>
        <v/>
      </c>
      <c r="H229" s="48"/>
      <c r="I229" s="48"/>
      <c r="J229" s="37" t="n">
        <f aca="false">IF($H229="",0,$H229-N($I229))</f>
        <v>0</v>
      </c>
      <c r="K229" s="38" t="str">
        <f aca="false">IF($H229="","",IF($J229&lt;0,"Lebih Bayar",IF($J229=0,"Lunas",IF(N($I229)&gt;0,"Bayar Sebagian","Belum Bayar"))))</f>
        <v/>
      </c>
      <c r="L229" s="39" t="n">
        <f aca="true">IF(OR($H229="",$G229=""),0,IF($J229&lt;=0,0,TODAY()-$G229))</f>
        <v>0</v>
      </c>
      <c r="M229" s="38" t="str">
        <f aca="false">IF($H229="","",IF($J229&lt;0,"Lebih Bayar",IF($J229=0,"Lunas",IF($L229&lt;=0,"Belum Jatuh Tempo",IF($L229&lt;=30,"1-30 hari",IF($L229&lt;=60,"31-60 hari",IF($L229&lt;=90,"61-90 hari","Lebih dari 90 hari")))))))</f>
        <v/>
      </c>
      <c r="N229" s="18" t="str">
        <f aca="false">IF($H229="","",IF($L229&lt;=0,"",$L229*1000000+ROW()))</f>
        <v/>
      </c>
    </row>
    <row r="230" customFormat="false" ht="15" hidden="false" customHeight="true" outlineLevel="0" collapsed="false">
      <c r="A230" s="18" t="str">
        <f aca="false">IF($C230="","",COUNTA($C$8:$C230))</f>
        <v/>
      </c>
      <c r="B230" s="40"/>
      <c r="C230" s="41"/>
      <c r="D230" s="19"/>
      <c r="E230" s="19"/>
      <c r="F230" s="42"/>
      <c r="G230" s="35" t="str">
        <f aca="false">IF(OR($B230="",$F230=""),"",$B230+$F230)</f>
        <v/>
      </c>
      <c r="H230" s="43"/>
      <c r="I230" s="43"/>
      <c r="J230" s="37" t="n">
        <f aca="false">IF($H230="",0,$H230-N($I230))</f>
        <v>0</v>
      </c>
      <c r="K230" s="38" t="str">
        <f aca="false">IF($H230="","",IF($J230&lt;0,"Lebih Bayar",IF($J230=0,"Lunas",IF(N($I230)&gt;0,"Bayar Sebagian","Belum Bayar"))))</f>
        <v/>
      </c>
      <c r="L230" s="39" t="n">
        <f aca="true">IF(OR($H230="",$G230=""),0,IF($J230&lt;=0,0,TODAY()-$G230))</f>
        <v>0</v>
      </c>
      <c r="M230" s="38" t="str">
        <f aca="false">IF($H230="","",IF($J230&lt;0,"Lebih Bayar",IF($J230=0,"Lunas",IF($L230&lt;=0,"Belum Jatuh Tempo",IF($L230&lt;=30,"1-30 hari",IF($L230&lt;=60,"31-60 hari",IF($L230&lt;=90,"61-90 hari","Lebih dari 90 hari")))))))</f>
        <v/>
      </c>
      <c r="N230" s="18" t="str">
        <f aca="false">IF($H230="","",IF($L230&lt;=0,"",$L230*1000000+ROW()))</f>
        <v/>
      </c>
    </row>
    <row r="231" customFormat="false" ht="15" hidden="false" customHeight="true" outlineLevel="0" collapsed="false">
      <c r="A231" s="18" t="str">
        <f aca="false">IF($C231="","",COUNTA($C$8:$C231))</f>
        <v/>
      </c>
      <c r="B231" s="44"/>
      <c r="C231" s="45"/>
      <c r="D231" s="46"/>
      <c r="E231" s="46"/>
      <c r="F231" s="47"/>
      <c r="G231" s="35" t="str">
        <f aca="false">IF(OR($B231="",$F231=""),"",$B231+$F231)</f>
        <v/>
      </c>
      <c r="H231" s="48"/>
      <c r="I231" s="48"/>
      <c r="J231" s="37" t="n">
        <f aca="false">IF($H231="",0,$H231-N($I231))</f>
        <v>0</v>
      </c>
      <c r="K231" s="38" t="str">
        <f aca="false">IF($H231="","",IF($J231&lt;0,"Lebih Bayar",IF($J231=0,"Lunas",IF(N($I231)&gt;0,"Bayar Sebagian","Belum Bayar"))))</f>
        <v/>
      </c>
      <c r="L231" s="39" t="n">
        <f aca="true">IF(OR($H231="",$G231=""),0,IF($J231&lt;=0,0,TODAY()-$G231))</f>
        <v>0</v>
      </c>
      <c r="M231" s="38" t="str">
        <f aca="false">IF($H231="","",IF($J231&lt;0,"Lebih Bayar",IF($J231=0,"Lunas",IF($L231&lt;=0,"Belum Jatuh Tempo",IF($L231&lt;=30,"1-30 hari",IF($L231&lt;=60,"31-60 hari",IF($L231&lt;=90,"61-90 hari","Lebih dari 90 hari")))))))</f>
        <v/>
      </c>
      <c r="N231" s="18" t="str">
        <f aca="false">IF($H231="","",IF($L231&lt;=0,"",$L231*1000000+ROW()))</f>
        <v/>
      </c>
    </row>
    <row r="232" customFormat="false" ht="15" hidden="false" customHeight="true" outlineLevel="0" collapsed="false">
      <c r="A232" s="18" t="str">
        <f aca="false">IF($C232="","",COUNTA($C$8:$C232))</f>
        <v/>
      </c>
      <c r="B232" s="40"/>
      <c r="C232" s="41"/>
      <c r="D232" s="19"/>
      <c r="E232" s="19"/>
      <c r="F232" s="42"/>
      <c r="G232" s="35" t="str">
        <f aca="false">IF(OR($B232="",$F232=""),"",$B232+$F232)</f>
        <v/>
      </c>
      <c r="H232" s="43"/>
      <c r="I232" s="43"/>
      <c r="J232" s="37" t="n">
        <f aca="false">IF($H232="",0,$H232-N($I232))</f>
        <v>0</v>
      </c>
      <c r="K232" s="38" t="str">
        <f aca="false">IF($H232="","",IF($J232&lt;0,"Lebih Bayar",IF($J232=0,"Lunas",IF(N($I232)&gt;0,"Bayar Sebagian","Belum Bayar"))))</f>
        <v/>
      </c>
      <c r="L232" s="39" t="n">
        <f aca="true">IF(OR($H232="",$G232=""),0,IF($J232&lt;=0,0,TODAY()-$G232))</f>
        <v>0</v>
      </c>
      <c r="M232" s="38" t="str">
        <f aca="false">IF($H232="","",IF($J232&lt;0,"Lebih Bayar",IF($J232=0,"Lunas",IF($L232&lt;=0,"Belum Jatuh Tempo",IF($L232&lt;=30,"1-30 hari",IF($L232&lt;=60,"31-60 hari",IF($L232&lt;=90,"61-90 hari","Lebih dari 90 hari")))))))</f>
        <v/>
      </c>
      <c r="N232" s="18" t="str">
        <f aca="false">IF($H232="","",IF($L232&lt;=0,"",$L232*1000000+ROW()))</f>
        <v/>
      </c>
    </row>
    <row r="233" customFormat="false" ht="15" hidden="false" customHeight="true" outlineLevel="0" collapsed="false">
      <c r="A233" s="18" t="str">
        <f aca="false">IF($C233="","",COUNTA($C$8:$C233))</f>
        <v/>
      </c>
      <c r="B233" s="44"/>
      <c r="C233" s="45"/>
      <c r="D233" s="46"/>
      <c r="E233" s="46"/>
      <c r="F233" s="47"/>
      <c r="G233" s="35" t="str">
        <f aca="false">IF(OR($B233="",$F233=""),"",$B233+$F233)</f>
        <v/>
      </c>
      <c r="H233" s="48"/>
      <c r="I233" s="48"/>
      <c r="J233" s="37" t="n">
        <f aca="false">IF($H233="",0,$H233-N($I233))</f>
        <v>0</v>
      </c>
      <c r="K233" s="38" t="str">
        <f aca="false">IF($H233="","",IF($J233&lt;0,"Lebih Bayar",IF($J233=0,"Lunas",IF(N($I233)&gt;0,"Bayar Sebagian","Belum Bayar"))))</f>
        <v/>
      </c>
      <c r="L233" s="39" t="n">
        <f aca="true">IF(OR($H233="",$G233=""),0,IF($J233&lt;=0,0,TODAY()-$G233))</f>
        <v>0</v>
      </c>
      <c r="M233" s="38" t="str">
        <f aca="false">IF($H233="","",IF($J233&lt;0,"Lebih Bayar",IF($J233=0,"Lunas",IF($L233&lt;=0,"Belum Jatuh Tempo",IF($L233&lt;=30,"1-30 hari",IF($L233&lt;=60,"31-60 hari",IF($L233&lt;=90,"61-90 hari","Lebih dari 90 hari")))))))</f>
        <v/>
      </c>
      <c r="N233" s="18" t="str">
        <f aca="false">IF($H233="","",IF($L233&lt;=0,"",$L233*1000000+ROW()))</f>
        <v/>
      </c>
    </row>
    <row r="234" customFormat="false" ht="15" hidden="false" customHeight="true" outlineLevel="0" collapsed="false">
      <c r="A234" s="18" t="str">
        <f aca="false">IF($C234="","",COUNTA($C$8:$C234))</f>
        <v/>
      </c>
      <c r="B234" s="40"/>
      <c r="C234" s="41"/>
      <c r="D234" s="19"/>
      <c r="E234" s="19"/>
      <c r="F234" s="42"/>
      <c r="G234" s="35" t="str">
        <f aca="false">IF(OR($B234="",$F234=""),"",$B234+$F234)</f>
        <v/>
      </c>
      <c r="H234" s="43"/>
      <c r="I234" s="43"/>
      <c r="J234" s="37" t="n">
        <f aca="false">IF($H234="",0,$H234-N($I234))</f>
        <v>0</v>
      </c>
      <c r="K234" s="38" t="str">
        <f aca="false">IF($H234="","",IF($J234&lt;0,"Lebih Bayar",IF($J234=0,"Lunas",IF(N($I234)&gt;0,"Bayar Sebagian","Belum Bayar"))))</f>
        <v/>
      </c>
      <c r="L234" s="39" t="n">
        <f aca="true">IF(OR($H234="",$G234=""),0,IF($J234&lt;=0,0,TODAY()-$G234))</f>
        <v>0</v>
      </c>
      <c r="M234" s="38" t="str">
        <f aca="false">IF($H234="","",IF($J234&lt;0,"Lebih Bayar",IF($J234=0,"Lunas",IF($L234&lt;=0,"Belum Jatuh Tempo",IF($L234&lt;=30,"1-30 hari",IF($L234&lt;=60,"31-60 hari",IF($L234&lt;=90,"61-90 hari","Lebih dari 90 hari")))))))</f>
        <v/>
      </c>
      <c r="N234" s="18" t="str">
        <f aca="false">IF($H234="","",IF($L234&lt;=0,"",$L234*1000000+ROW()))</f>
        <v/>
      </c>
    </row>
    <row r="235" customFormat="false" ht="15" hidden="false" customHeight="true" outlineLevel="0" collapsed="false">
      <c r="A235" s="18" t="str">
        <f aca="false">IF($C235="","",COUNTA($C$8:$C235))</f>
        <v/>
      </c>
      <c r="B235" s="44"/>
      <c r="C235" s="45"/>
      <c r="D235" s="46"/>
      <c r="E235" s="46"/>
      <c r="F235" s="47"/>
      <c r="G235" s="35" t="str">
        <f aca="false">IF(OR($B235="",$F235=""),"",$B235+$F235)</f>
        <v/>
      </c>
      <c r="H235" s="48"/>
      <c r="I235" s="48"/>
      <c r="J235" s="37" t="n">
        <f aca="false">IF($H235="",0,$H235-N($I235))</f>
        <v>0</v>
      </c>
      <c r="K235" s="38" t="str">
        <f aca="false">IF($H235="","",IF($J235&lt;0,"Lebih Bayar",IF($J235=0,"Lunas",IF(N($I235)&gt;0,"Bayar Sebagian","Belum Bayar"))))</f>
        <v/>
      </c>
      <c r="L235" s="39" t="n">
        <f aca="true">IF(OR($H235="",$G235=""),0,IF($J235&lt;=0,0,TODAY()-$G235))</f>
        <v>0</v>
      </c>
      <c r="M235" s="38" t="str">
        <f aca="false">IF($H235="","",IF($J235&lt;0,"Lebih Bayar",IF($J235=0,"Lunas",IF($L235&lt;=0,"Belum Jatuh Tempo",IF($L235&lt;=30,"1-30 hari",IF($L235&lt;=60,"31-60 hari",IF($L235&lt;=90,"61-90 hari","Lebih dari 90 hari")))))))</f>
        <v/>
      </c>
      <c r="N235" s="18" t="str">
        <f aca="false">IF($H235="","",IF($L235&lt;=0,"",$L235*1000000+ROW()))</f>
        <v/>
      </c>
    </row>
    <row r="236" customFormat="false" ht="15" hidden="false" customHeight="true" outlineLevel="0" collapsed="false">
      <c r="A236" s="18" t="str">
        <f aca="false">IF($C236="","",COUNTA($C$8:$C236))</f>
        <v/>
      </c>
      <c r="B236" s="40"/>
      <c r="C236" s="41"/>
      <c r="D236" s="19"/>
      <c r="E236" s="19"/>
      <c r="F236" s="42"/>
      <c r="G236" s="35" t="str">
        <f aca="false">IF(OR($B236="",$F236=""),"",$B236+$F236)</f>
        <v/>
      </c>
      <c r="H236" s="43"/>
      <c r="I236" s="43"/>
      <c r="J236" s="37" t="n">
        <f aca="false">IF($H236="",0,$H236-N($I236))</f>
        <v>0</v>
      </c>
      <c r="K236" s="38" t="str">
        <f aca="false">IF($H236="","",IF($J236&lt;0,"Lebih Bayar",IF($J236=0,"Lunas",IF(N($I236)&gt;0,"Bayar Sebagian","Belum Bayar"))))</f>
        <v/>
      </c>
      <c r="L236" s="39" t="n">
        <f aca="true">IF(OR($H236="",$G236=""),0,IF($J236&lt;=0,0,TODAY()-$G236))</f>
        <v>0</v>
      </c>
      <c r="M236" s="38" t="str">
        <f aca="false">IF($H236="","",IF($J236&lt;0,"Lebih Bayar",IF($J236=0,"Lunas",IF($L236&lt;=0,"Belum Jatuh Tempo",IF($L236&lt;=30,"1-30 hari",IF($L236&lt;=60,"31-60 hari",IF($L236&lt;=90,"61-90 hari","Lebih dari 90 hari")))))))</f>
        <v/>
      </c>
      <c r="N236" s="18" t="str">
        <f aca="false">IF($H236="","",IF($L236&lt;=0,"",$L236*1000000+ROW()))</f>
        <v/>
      </c>
    </row>
    <row r="237" customFormat="false" ht="15" hidden="false" customHeight="true" outlineLevel="0" collapsed="false">
      <c r="A237" s="18" t="str">
        <f aca="false">IF($C237="","",COUNTA($C$8:$C237))</f>
        <v/>
      </c>
      <c r="B237" s="44"/>
      <c r="C237" s="45"/>
      <c r="D237" s="46"/>
      <c r="E237" s="46"/>
      <c r="F237" s="47"/>
      <c r="G237" s="35" t="str">
        <f aca="false">IF(OR($B237="",$F237=""),"",$B237+$F237)</f>
        <v/>
      </c>
      <c r="H237" s="48"/>
      <c r="I237" s="48"/>
      <c r="J237" s="37" t="n">
        <f aca="false">IF($H237="",0,$H237-N($I237))</f>
        <v>0</v>
      </c>
      <c r="K237" s="38" t="str">
        <f aca="false">IF($H237="","",IF($J237&lt;0,"Lebih Bayar",IF($J237=0,"Lunas",IF(N($I237)&gt;0,"Bayar Sebagian","Belum Bayar"))))</f>
        <v/>
      </c>
      <c r="L237" s="39" t="n">
        <f aca="true">IF(OR($H237="",$G237=""),0,IF($J237&lt;=0,0,TODAY()-$G237))</f>
        <v>0</v>
      </c>
      <c r="M237" s="38" t="str">
        <f aca="false">IF($H237="","",IF($J237&lt;0,"Lebih Bayar",IF($J237=0,"Lunas",IF($L237&lt;=0,"Belum Jatuh Tempo",IF($L237&lt;=30,"1-30 hari",IF($L237&lt;=60,"31-60 hari",IF($L237&lt;=90,"61-90 hari","Lebih dari 90 hari")))))))</f>
        <v/>
      </c>
      <c r="N237" s="18" t="str">
        <f aca="false">IF($H237="","",IF($L237&lt;=0,"",$L237*1000000+ROW()))</f>
        <v/>
      </c>
    </row>
    <row r="238" customFormat="false" ht="15" hidden="false" customHeight="true" outlineLevel="0" collapsed="false">
      <c r="A238" s="18" t="str">
        <f aca="false">IF($C238="","",COUNTA($C$8:$C238))</f>
        <v/>
      </c>
      <c r="B238" s="40"/>
      <c r="C238" s="41"/>
      <c r="D238" s="19"/>
      <c r="E238" s="19"/>
      <c r="F238" s="42"/>
      <c r="G238" s="35" t="str">
        <f aca="false">IF(OR($B238="",$F238=""),"",$B238+$F238)</f>
        <v/>
      </c>
      <c r="H238" s="43"/>
      <c r="I238" s="43"/>
      <c r="J238" s="37" t="n">
        <f aca="false">IF($H238="",0,$H238-N($I238))</f>
        <v>0</v>
      </c>
      <c r="K238" s="38" t="str">
        <f aca="false">IF($H238="","",IF($J238&lt;0,"Lebih Bayar",IF($J238=0,"Lunas",IF(N($I238)&gt;0,"Bayar Sebagian","Belum Bayar"))))</f>
        <v/>
      </c>
      <c r="L238" s="39" t="n">
        <f aca="true">IF(OR($H238="",$G238=""),0,IF($J238&lt;=0,0,TODAY()-$G238))</f>
        <v>0</v>
      </c>
      <c r="M238" s="38" t="str">
        <f aca="false">IF($H238="","",IF($J238&lt;0,"Lebih Bayar",IF($J238=0,"Lunas",IF($L238&lt;=0,"Belum Jatuh Tempo",IF($L238&lt;=30,"1-30 hari",IF($L238&lt;=60,"31-60 hari",IF($L238&lt;=90,"61-90 hari","Lebih dari 90 hari")))))))</f>
        <v/>
      </c>
      <c r="N238" s="18" t="str">
        <f aca="false">IF($H238="","",IF($L238&lt;=0,"",$L238*1000000+ROW()))</f>
        <v/>
      </c>
    </row>
    <row r="239" customFormat="false" ht="15" hidden="false" customHeight="true" outlineLevel="0" collapsed="false">
      <c r="A239" s="18" t="str">
        <f aca="false">IF($C239="","",COUNTA($C$8:$C239))</f>
        <v/>
      </c>
      <c r="B239" s="44"/>
      <c r="C239" s="45"/>
      <c r="D239" s="46"/>
      <c r="E239" s="46"/>
      <c r="F239" s="47"/>
      <c r="G239" s="35" t="str">
        <f aca="false">IF(OR($B239="",$F239=""),"",$B239+$F239)</f>
        <v/>
      </c>
      <c r="H239" s="48"/>
      <c r="I239" s="48"/>
      <c r="J239" s="37" t="n">
        <f aca="false">IF($H239="",0,$H239-N($I239))</f>
        <v>0</v>
      </c>
      <c r="K239" s="38" t="str">
        <f aca="false">IF($H239="","",IF($J239&lt;0,"Lebih Bayar",IF($J239=0,"Lunas",IF(N($I239)&gt;0,"Bayar Sebagian","Belum Bayar"))))</f>
        <v/>
      </c>
      <c r="L239" s="39" t="n">
        <f aca="true">IF(OR($H239="",$G239=""),0,IF($J239&lt;=0,0,TODAY()-$G239))</f>
        <v>0</v>
      </c>
      <c r="M239" s="38" t="str">
        <f aca="false">IF($H239="","",IF($J239&lt;0,"Lebih Bayar",IF($J239=0,"Lunas",IF($L239&lt;=0,"Belum Jatuh Tempo",IF($L239&lt;=30,"1-30 hari",IF($L239&lt;=60,"31-60 hari",IF($L239&lt;=90,"61-90 hari","Lebih dari 90 hari")))))))</f>
        <v/>
      </c>
      <c r="N239" s="18" t="str">
        <f aca="false">IF($H239="","",IF($L239&lt;=0,"",$L239*1000000+ROW()))</f>
        <v/>
      </c>
    </row>
    <row r="240" customFormat="false" ht="15" hidden="false" customHeight="true" outlineLevel="0" collapsed="false">
      <c r="A240" s="18" t="str">
        <f aca="false">IF($C240="","",COUNTA($C$8:$C240))</f>
        <v/>
      </c>
      <c r="B240" s="40"/>
      <c r="C240" s="41"/>
      <c r="D240" s="19"/>
      <c r="E240" s="19"/>
      <c r="F240" s="42"/>
      <c r="G240" s="35" t="str">
        <f aca="false">IF(OR($B240="",$F240=""),"",$B240+$F240)</f>
        <v/>
      </c>
      <c r="H240" s="43"/>
      <c r="I240" s="43"/>
      <c r="J240" s="37" t="n">
        <f aca="false">IF($H240="",0,$H240-N($I240))</f>
        <v>0</v>
      </c>
      <c r="K240" s="38" t="str">
        <f aca="false">IF($H240="","",IF($J240&lt;0,"Lebih Bayar",IF($J240=0,"Lunas",IF(N($I240)&gt;0,"Bayar Sebagian","Belum Bayar"))))</f>
        <v/>
      </c>
      <c r="L240" s="39" t="n">
        <f aca="true">IF(OR($H240="",$G240=""),0,IF($J240&lt;=0,0,TODAY()-$G240))</f>
        <v>0</v>
      </c>
      <c r="M240" s="38" t="str">
        <f aca="false">IF($H240="","",IF($J240&lt;0,"Lebih Bayar",IF($J240=0,"Lunas",IF($L240&lt;=0,"Belum Jatuh Tempo",IF($L240&lt;=30,"1-30 hari",IF($L240&lt;=60,"31-60 hari",IF($L240&lt;=90,"61-90 hari","Lebih dari 90 hari")))))))</f>
        <v/>
      </c>
      <c r="N240" s="18" t="str">
        <f aca="false">IF($H240="","",IF($L240&lt;=0,"",$L240*1000000+ROW()))</f>
        <v/>
      </c>
    </row>
    <row r="241" customFormat="false" ht="15" hidden="false" customHeight="true" outlineLevel="0" collapsed="false">
      <c r="A241" s="18" t="str">
        <f aca="false">IF($C241="","",COUNTA($C$8:$C241))</f>
        <v/>
      </c>
      <c r="B241" s="44"/>
      <c r="C241" s="45"/>
      <c r="D241" s="46"/>
      <c r="E241" s="46"/>
      <c r="F241" s="47"/>
      <c r="G241" s="35" t="str">
        <f aca="false">IF(OR($B241="",$F241=""),"",$B241+$F241)</f>
        <v/>
      </c>
      <c r="H241" s="48"/>
      <c r="I241" s="48"/>
      <c r="J241" s="37" t="n">
        <f aca="false">IF($H241="",0,$H241-N($I241))</f>
        <v>0</v>
      </c>
      <c r="K241" s="38" t="str">
        <f aca="false">IF($H241="","",IF($J241&lt;0,"Lebih Bayar",IF($J241=0,"Lunas",IF(N($I241)&gt;0,"Bayar Sebagian","Belum Bayar"))))</f>
        <v/>
      </c>
      <c r="L241" s="39" t="n">
        <f aca="true">IF(OR($H241="",$G241=""),0,IF($J241&lt;=0,0,TODAY()-$G241))</f>
        <v>0</v>
      </c>
      <c r="M241" s="38" t="str">
        <f aca="false">IF($H241="","",IF($J241&lt;0,"Lebih Bayar",IF($J241=0,"Lunas",IF($L241&lt;=0,"Belum Jatuh Tempo",IF($L241&lt;=30,"1-30 hari",IF($L241&lt;=60,"31-60 hari",IF($L241&lt;=90,"61-90 hari","Lebih dari 90 hari")))))))</f>
        <v/>
      </c>
      <c r="N241" s="18" t="str">
        <f aca="false">IF($H241="","",IF($L241&lt;=0,"",$L241*1000000+ROW()))</f>
        <v/>
      </c>
    </row>
    <row r="242" customFormat="false" ht="15" hidden="false" customHeight="true" outlineLevel="0" collapsed="false">
      <c r="A242" s="18" t="str">
        <f aca="false">IF($C242="","",COUNTA($C$8:$C242))</f>
        <v/>
      </c>
      <c r="B242" s="40"/>
      <c r="C242" s="41"/>
      <c r="D242" s="19"/>
      <c r="E242" s="19"/>
      <c r="F242" s="42"/>
      <c r="G242" s="35" t="str">
        <f aca="false">IF(OR($B242="",$F242=""),"",$B242+$F242)</f>
        <v/>
      </c>
      <c r="H242" s="43"/>
      <c r="I242" s="43"/>
      <c r="J242" s="37" t="n">
        <f aca="false">IF($H242="",0,$H242-N($I242))</f>
        <v>0</v>
      </c>
      <c r="K242" s="38" t="str">
        <f aca="false">IF($H242="","",IF($J242&lt;0,"Lebih Bayar",IF($J242=0,"Lunas",IF(N($I242)&gt;0,"Bayar Sebagian","Belum Bayar"))))</f>
        <v/>
      </c>
      <c r="L242" s="39" t="n">
        <f aca="true">IF(OR($H242="",$G242=""),0,IF($J242&lt;=0,0,TODAY()-$G242))</f>
        <v>0</v>
      </c>
      <c r="M242" s="38" t="str">
        <f aca="false">IF($H242="","",IF($J242&lt;0,"Lebih Bayar",IF($J242=0,"Lunas",IF($L242&lt;=0,"Belum Jatuh Tempo",IF($L242&lt;=30,"1-30 hari",IF($L242&lt;=60,"31-60 hari",IF($L242&lt;=90,"61-90 hari","Lebih dari 90 hari")))))))</f>
        <v/>
      </c>
      <c r="N242" s="18" t="str">
        <f aca="false">IF($H242="","",IF($L242&lt;=0,"",$L242*1000000+ROW()))</f>
        <v/>
      </c>
    </row>
    <row r="243" customFormat="false" ht="15" hidden="false" customHeight="true" outlineLevel="0" collapsed="false">
      <c r="A243" s="18" t="str">
        <f aca="false">IF($C243="","",COUNTA($C$8:$C243))</f>
        <v/>
      </c>
      <c r="B243" s="44"/>
      <c r="C243" s="45"/>
      <c r="D243" s="46"/>
      <c r="E243" s="46"/>
      <c r="F243" s="47"/>
      <c r="G243" s="35" t="str">
        <f aca="false">IF(OR($B243="",$F243=""),"",$B243+$F243)</f>
        <v/>
      </c>
      <c r="H243" s="48"/>
      <c r="I243" s="48"/>
      <c r="J243" s="37" t="n">
        <f aca="false">IF($H243="",0,$H243-N($I243))</f>
        <v>0</v>
      </c>
      <c r="K243" s="38" t="str">
        <f aca="false">IF($H243="","",IF($J243&lt;0,"Lebih Bayar",IF($J243=0,"Lunas",IF(N($I243)&gt;0,"Bayar Sebagian","Belum Bayar"))))</f>
        <v/>
      </c>
      <c r="L243" s="39" t="n">
        <f aca="true">IF(OR($H243="",$G243=""),0,IF($J243&lt;=0,0,TODAY()-$G243))</f>
        <v>0</v>
      </c>
      <c r="M243" s="38" t="str">
        <f aca="false">IF($H243="","",IF($J243&lt;0,"Lebih Bayar",IF($J243=0,"Lunas",IF($L243&lt;=0,"Belum Jatuh Tempo",IF($L243&lt;=30,"1-30 hari",IF($L243&lt;=60,"31-60 hari",IF($L243&lt;=90,"61-90 hari","Lebih dari 90 hari")))))))</f>
        <v/>
      </c>
      <c r="N243" s="18" t="str">
        <f aca="false">IF($H243="","",IF($L243&lt;=0,"",$L243*1000000+ROW()))</f>
        <v/>
      </c>
    </row>
    <row r="244" customFormat="false" ht="15" hidden="false" customHeight="true" outlineLevel="0" collapsed="false">
      <c r="A244" s="18" t="str">
        <f aca="false">IF($C244="","",COUNTA($C$8:$C244))</f>
        <v/>
      </c>
      <c r="B244" s="40"/>
      <c r="C244" s="41"/>
      <c r="D244" s="19"/>
      <c r="E244" s="19"/>
      <c r="F244" s="42"/>
      <c r="G244" s="35" t="str">
        <f aca="false">IF(OR($B244="",$F244=""),"",$B244+$F244)</f>
        <v/>
      </c>
      <c r="H244" s="43"/>
      <c r="I244" s="43"/>
      <c r="J244" s="37" t="n">
        <f aca="false">IF($H244="",0,$H244-N($I244))</f>
        <v>0</v>
      </c>
      <c r="K244" s="38" t="str">
        <f aca="false">IF($H244="","",IF($J244&lt;0,"Lebih Bayar",IF($J244=0,"Lunas",IF(N($I244)&gt;0,"Bayar Sebagian","Belum Bayar"))))</f>
        <v/>
      </c>
      <c r="L244" s="39" t="n">
        <f aca="true">IF(OR($H244="",$G244=""),0,IF($J244&lt;=0,0,TODAY()-$G244))</f>
        <v>0</v>
      </c>
      <c r="M244" s="38" t="str">
        <f aca="false">IF($H244="","",IF($J244&lt;0,"Lebih Bayar",IF($J244=0,"Lunas",IF($L244&lt;=0,"Belum Jatuh Tempo",IF($L244&lt;=30,"1-30 hari",IF($L244&lt;=60,"31-60 hari",IF($L244&lt;=90,"61-90 hari","Lebih dari 90 hari")))))))</f>
        <v/>
      </c>
      <c r="N244" s="18" t="str">
        <f aca="false">IF($H244="","",IF($L244&lt;=0,"",$L244*1000000+ROW()))</f>
        <v/>
      </c>
    </row>
    <row r="245" customFormat="false" ht="15" hidden="false" customHeight="true" outlineLevel="0" collapsed="false">
      <c r="A245" s="18" t="str">
        <f aca="false">IF($C245="","",COUNTA($C$8:$C245))</f>
        <v/>
      </c>
      <c r="B245" s="44"/>
      <c r="C245" s="45"/>
      <c r="D245" s="46"/>
      <c r="E245" s="46"/>
      <c r="F245" s="47"/>
      <c r="G245" s="35" t="str">
        <f aca="false">IF(OR($B245="",$F245=""),"",$B245+$F245)</f>
        <v/>
      </c>
      <c r="H245" s="48"/>
      <c r="I245" s="48"/>
      <c r="J245" s="37" t="n">
        <f aca="false">IF($H245="",0,$H245-N($I245))</f>
        <v>0</v>
      </c>
      <c r="K245" s="38" t="str">
        <f aca="false">IF($H245="","",IF($J245&lt;0,"Lebih Bayar",IF($J245=0,"Lunas",IF(N($I245)&gt;0,"Bayar Sebagian","Belum Bayar"))))</f>
        <v/>
      </c>
      <c r="L245" s="39" t="n">
        <f aca="true">IF(OR($H245="",$G245=""),0,IF($J245&lt;=0,0,TODAY()-$G245))</f>
        <v>0</v>
      </c>
      <c r="M245" s="38" t="str">
        <f aca="false">IF($H245="","",IF($J245&lt;0,"Lebih Bayar",IF($J245=0,"Lunas",IF($L245&lt;=0,"Belum Jatuh Tempo",IF($L245&lt;=30,"1-30 hari",IF($L245&lt;=60,"31-60 hari",IF($L245&lt;=90,"61-90 hari","Lebih dari 90 hari")))))))</f>
        <v/>
      </c>
      <c r="N245" s="18" t="str">
        <f aca="false">IF($H245="","",IF($L245&lt;=0,"",$L245*1000000+ROW()))</f>
        <v/>
      </c>
    </row>
    <row r="246" customFormat="false" ht="15" hidden="false" customHeight="true" outlineLevel="0" collapsed="false">
      <c r="A246" s="18" t="str">
        <f aca="false">IF($C246="","",COUNTA($C$8:$C246))</f>
        <v/>
      </c>
      <c r="B246" s="40"/>
      <c r="C246" s="41"/>
      <c r="D246" s="19"/>
      <c r="E246" s="19"/>
      <c r="F246" s="42"/>
      <c r="G246" s="35" t="str">
        <f aca="false">IF(OR($B246="",$F246=""),"",$B246+$F246)</f>
        <v/>
      </c>
      <c r="H246" s="43"/>
      <c r="I246" s="43"/>
      <c r="J246" s="37" t="n">
        <f aca="false">IF($H246="",0,$H246-N($I246))</f>
        <v>0</v>
      </c>
      <c r="K246" s="38" t="str">
        <f aca="false">IF($H246="","",IF($J246&lt;0,"Lebih Bayar",IF($J246=0,"Lunas",IF(N($I246)&gt;0,"Bayar Sebagian","Belum Bayar"))))</f>
        <v/>
      </c>
      <c r="L246" s="39" t="n">
        <f aca="true">IF(OR($H246="",$G246=""),0,IF($J246&lt;=0,0,TODAY()-$G246))</f>
        <v>0</v>
      </c>
      <c r="M246" s="38" t="str">
        <f aca="false">IF($H246="","",IF($J246&lt;0,"Lebih Bayar",IF($J246=0,"Lunas",IF($L246&lt;=0,"Belum Jatuh Tempo",IF($L246&lt;=30,"1-30 hari",IF($L246&lt;=60,"31-60 hari",IF($L246&lt;=90,"61-90 hari","Lebih dari 90 hari")))))))</f>
        <v/>
      </c>
      <c r="N246" s="18" t="str">
        <f aca="false">IF($H246="","",IF($L246&lt;=0,"",$L246*1000000+ROW()))</f>
        <v/>
      </c>
    </row>
    <row r="247" customFormat="false" ht="15" hidden="false" customHeight="true" outlineLevel="0" collapsed="false">
      <c r="A247" s="18" t="str">
        <f aca="false">IF($C247="","",COUNTA($C$8:$C247))</f>
        <v/>
      </c>
      <c r="B247" s="44"/>
      <c r="C247" s="45"/>
      <c r="D247" s="46"/>
      <c r="E247" s="46"/>
      <c r="F247" s="47"/>
      <c r="G247" s="35" t="str">
        <f aca="false">IF(OR($B247="",$F247=""),"",$B247+$F247)</f>
        <v/>
      </c>
      <c r="H247" s="48"/>
      <c r="I247" s="48"/>
      <c r="J247" s="37" t="n">
        <f aca="false">IF($H247="",0,$H247-N($I247))</f>
        <v>0</v>
      </c>
      <c r="K247" s="38" t="str">
        <f aca="false">IF($H247="","",IF($J247&lt;0,"Lebih Bayar",IF($J247=0,"Lunas",IF(N($I247)&gt;0,"Bayar Sebagian","Belum Bayar"))))</f>
        <v/>
      </c>
      <c r="L247" s="39" t="n">
        <f aca="true">IF(OR($H247="",$G247=""),0,IF($J247&lt;=0,0,TODAY()-$G247))</f>
        <v>0</v>
      </c>
      <c r="M247" s="38" t="str">
        <f aca="false">IF($H247="","",IF($J247&lt;0,"Lebih Bayar",IF($J247=0,"Lunas",IF($L247&lt;=0,"Belum Jatuh Tempo",IF($L247&lt;=30,"1-30 hari",IF($L247&lt;=60,"31-60 hari",IF($L247&lt;=90,"61-90 hari","Lebih dari 90 hari")))))))</f>
        <v/>
      </c>
      <c r="N247" s="18" t="str">
        <f aca="false">IF($H247="","",IF($L247&lt;=0,"",$L247*1000000+ROW()))</f>
        <v/>
      </c>
    </row>
    <row r="248" customFormat="false" ht="15" hidden="false" customHeight="true" outlineLevel="0" collapsed="false">
      <c r="A248" s="18" t="str">
        <f aca="false">IF($C248="","",COUNTA($C$8:$C248))</f>
        <v/>
      </c>
      <c r="B248" s="40"/>
      <c r="C248" s="41"/>
      <c r="D248" s="19"/>
      <c r="E248" s="19"/>
      <c r="F248" s="42"/>
      <c r="G248" s="35" t="str">
        <f aca="false">IF(OR($B248="",$F248=""),"",$B248+$F248)</f>
        <v/>
      </c>
      <c r="H248" s="43"/>
      <c r="I248" s="43"/>
      <c r="J248" s="37" t="n">
        <f aca="false">IF($H248="",0,$H248-N($I248))</f>
        <v>0</v>
      </c>
      <c r="K248" s="38" t="str">
        <f aca="false">IF($H248="","",IF($J248&lt;0,"Lebih Bayar",IF($J248=0,"Lunas",IF(N($I248)&gt;0,"Bayar Sebagian","Belum Bayar"))))</f>
        <v/>
      </c>
      <c r="L248" s="39" t="n">
        <f aca="true">IF(OR($H248="",$G248=""),0,IF($J248&lt;=0,0,TODAY()-$G248))</f>
        <v>0</v>
      </c>
      <c r="M248" s="38" t="str">
        <f aca="false">IF($H248="","",IF($J248&lt;0,"Lebih Bayar",IF($J248=0,"Lunas",IF($L248&lt;=0,"Belum Jatuh Tempo",IF($L248&lt;=30,"1-30 hari",IF($L248&lt;=60,"31-60 hari",IF($L248&lt;=90,"61-90 hari","Lebih dari 90 hari")))))))</f>
        <v/>
      </c>
      <c r="N248" s="18" t="str">
        <f aca="false">IF($H248="","",IF($L248&lt;=0,"",$L248*1000000+ROW()))</f>
        <v/>
      </c>
    </row>
    <row r="249" customFormat="false" ht="15" hidden="false" customHeight="true" outlineLevel="0" collapsed="false">
      <c r="A249" s="18" t="str">
        <f aca="false">IF($C249="","",COUNTA($C$8:$C249))</f>
        <v/>
      </c>
      <c r="B249" s="44"/>
      <c r="C249" s="45"/>
      <c r="D249" s="46"/>
      <c r="E249" s="46"/>
      <c r="F249" s="47"/>
      <c r="G249" s="35" t="str">
        <f aca="false">IF(OR($B249="",$F249=""),"",$B249+$F249)</f>
        <v/>
      </c>
      <c r="H249" s="48"/>
      <c r="I249" s="48"/>
      <c r="J249" s="37" t="n">
        <f aca="false">IF($H249="",0,$H249-N($I249))</f>
        <v>0</v>
      </c>
      <c r="K249" s="38" t="str">
        <f aca="false">IF($H249="","",IF($J249&lt;0,"Lebih Bayar",IF($J249=0,"Lunas",IF(N($I249)&gt;0,"Bayar Sebagian","Belum Bayar"))))</f>
        <v/>
      </c>
      <c r="L249" s="39" t="n">
        <f aca="true">IF(OR($H249="",$G249=""),0,IF($J249&lt;=0,0,TODAY()-$G249))</f>
        <v>0</v>
      </c>
      <c r="M249" s="38" t="str">
        <f aca="false">IF($H249="","",IF($J249&lt;0,"Lebih Bayar",IF($J249=0,"Lunas",IF($L249&lt;=0,"Belum Jatuh Tempo",IF($L249&lt;=30,"1-30 hari",IF($L249&lt;=60,"31-60 hari",IF($L249&lt;=90,"61-90 hari","Lebih dari 90 hari")))))))</f>
        <v/>
      </c>
      <c r="N249" s="18" t="str">
        <f aca="false">IF($H249="","",IF($L249&lt;=0,"",$L249*1000000+ROW()))</f>
        <v/>
      </c>
    </row>
    <row r="250" customFormat="false" ht="15" hidden="false" customHeight="true" outlineLevel="0" collapsed="false">
      <c r="A250" s="18" t="str">
        <f aca="false">IF($C250="","",COUNTA($C$8:$C250))</f>
        <v/>
      </c>
      <c r="B250" s="40"/>
      <c r="C250" s="41"/>
      <c r="D250" s="19"/>
      <c r="E250" s="19"/>
      <c r="F250" s="42"/>
      <c r="G250" s="35" t="str">
        <f aca="false">IF(OR($B250="",$F250=""),"",$B250+$F250)</f>
        <v/>
      </c>
      <c r="H250" s="43"/>
      <c r="I250" s="43"/>
      <c r="J250" s="37" t="n">
        <f aca="false">IF($H250="",0,$H250-N($I250))</f>
        <v>0</v>
      </c>
      <c r="K250" s="38" t="str">
        <f aca="false">IF($H250="","",IF($J250&lt;0,"Lebih Bayar",IF($J250=0,"Lunas",IF(N($I250)&gt;0,"Bayar Sebagian","Belum Bayar"))))</f>
        <v/>
      </c>
      <c r="L250" s="39" t="n">
        <f aca="true">IF(OR($H250="",$G250=""),0,IF($J250&lt;=0,0,TODAY()-$G250))</f>
        <v>0</v>
      </c>
      <c r="M250" s="38" t="str">
        <f aca="false">IF($H250="","",IF($J250&lt;0,"Lebih Bayar",IF($J250=0,"Lunas",IF($L250&lt;=0,"Belum Jatuh Tempo",IF($L250&lt;=30,"1-30 hari",IF($L250&lt;=60,"31-60 hari",IF($L250&lt;=90,"61-90 hari","Lebih dari 90 hari")))))))</f>
        <v/>
      </c>
      <c r="N250" s="18" t="str">
        <f aca="false">IF($H250="","",IF($L250&lt;=0,"",$L250*1000000+ROW()))</f>
        <v/>
      </c>
    </row>
    <row r="251" customFormat="false" ht="15" hidden="false" customHeight="true" outlineLevel="0" collapsed="false">
      <c r="A251" s="18" t="str">
        <f aca="false">IF($C251="","",COUNTA($C$8:$C251))</f>
        <v/>
      </c>
      <c r="B251" s="44"/>
      <c r="C251" s="45"/>
      <c r="D251" s="46"/>
      <c r="E251" s="46"/>
      <c r="F251" s="47"/>
      <c r="G251" s="35" t="str">
        <f aca="false">IF(OR($B251="",$F251=""),"",$B251+$F251)</f>
        <v/>
      </c>
      <c r="H251" s="48"/>
      <c r="I251" s="48"/>
      <c r="J251" s="37" t="n">
        <f aca="false">IF($H251="",0,$H251-N($I251))</f>
        <v>0</v>
      </c>
      <c r="K251" s="38" t="str">
        <f aca="false">IF($H251="","",IF($J251&lt;0,"Lebih Bayar",IF($J251=0,"Lunas",IF(N($I251)&gt;0,"Bayar Sebagian","Belum Bayar"))))</f>
        <v/>
      </c>
      <c r="L251" s="39" t="n">
        <f aca="true">IF(OR($H251="",$G251=""),0,IF($J251&lt;=0,0,TODAY()-$G251))</f>
        <v>0</v>
      </c>
      <c r="M251" s="38" t="str">
        <f aca="false">IF($H251="","",IF($J251&lt;0,"Lebih Bayar",IF($J251=0,"Lunas",IF($L251&lt;=0,"Belum Jatuh Tempo",IF($L251&lt;=30,"1-30 hari",IF($L251&lt;=60,"31-60 hari",IF($L251&lt;=90,"61-90 hari","Lebih dari 90 hari")))))))</f>
        <v/>
      </c>
      <c r="N251" s="18" t="str">
        <f aca="false">IF($H251="","",IF($L251&lt;=0,"",$L251*1000000+ROW()))</f>
        <v/>
      </c>
    </row>
    <row r="252" customFormat="false" ht="15" hidden="false" customHeight="true" outlineLevel="0" collapsed="false">
      <c r="A252" s="18" t="str">
        <f aca="false">IF($C252="","",COUNTA($C$8:$C252))</f>
        <v/>
      </c>
      <c r="B252" s="40"/>
      <c r="C252" s="41"/>
      <c r="D252" s="19"/>
      <c r="E252" s="19"/>
      <c r="F252" s="42"/>
      <c r="G252" s="35" t="str">
        <f aca="false">IF(OR($B252="",$F252=""),"",$B252+$F252)</f>
        <v/>
      </c>
      <c r="H252" s="43"/>
      <c r="I252" s="43"/>
      <c r="J252" s="37" t="n">
        <f aca="false">IF($H252="",0,$H252-N($I252))</f>
        <v>0</v>
      </c>
      <c r="K252" s="38" t="str">
        <f aca="false">IF($H252="","",IF($J252&lt;0,"Lebih Bayar",IF($J252=0,"Lunas",IF(N($I252)&gt;0,"Bayar Sebagian","Belum Bayar"))))</f>
        <v/>
      </c>
      <c r="L252" s="39" t="n">
        <f aca="true">IF(OR($H252="",$G252=""),0,IF($J252&lt;=0,0,TODAY()-$G252))</f>
        <v>0</v>
      </c>
      <c r="M252" s="38" t="str">
        <f aca="false">IF($H252="","",IF($J252&lt;0,"Lebih Bayar",IF($J252=0,"Lunas",IF($L252&lt;=0,"Belum Jatuh Tempo",IF($L252&lt;=30,"1-30 hari",IF($L252&lt;=60,"31-60 hari",IF($L252&lt;=90,"61-90 hari","Lebih dari 90 hari")))))))</f>
        <v/>
      </c>
      <c r="N252" s="18" t="str">
        <f aca="false">IF($H252="","",IF($L252&lt;=0,"",$L252*1000000+ROW()))</f>
        <v/>
      </c>
    </row>
    <row r="253" customFormat="false" ht="15" hidden="false" customHeight="true" outlineLevel="0" collapsed="false">
      <c r="A253" s="18" t="str">
        <f aca="false">IF($C253="","",COUNTA($C$8:$C253))</f>
        <v/>
      </c>
      <c r="B253" s="44"/>
      <c r="C253" s="45"/>
      <c r="D253" s="46"/>
      <c r="E253" s="46"/>
      <c r="F253" s="47"/>
      <c r="G253" s="35" t="str">
        <f aca="false">IF(OR($B253="",$F253=""),"",$B253+$F253)</f>
        <v/>
      </c>
      <c r="H253" s="48"/>
      <c r="I253" s="48"/>
      <c r="J253" s="37" t="n">
        <f aca="false">IF($H253="",0,$H253-N($I253))</f>
        <v>0</v>
      </c>
      <c r="K253" s="38" t="str">
        <f aca="false">IF($H253="","",IF($J253&lt;0,"Lebih Bayar",IF($J253=0,"Lunas",IF(N($I253)&gt;0,"Bayar Sebagian","Belum Bayar"))))</f>
        <v/>
      </c>
      <c r="L253" s="39" t="n">
        <f aca="true">IF(OR($H253="",$G253=""),0,IF($J253&lt;=0,0,TODAY()-$G253))</f>
        <v>0</v>
      </c>
      <c r="M253" s="38" t="str">
        <f aca="false">IF($H253="","",IF($J253&lt;0,"Lebih Bayar",IF($J253=0,"Lunas",IF($L253&lt;=0,"Belum Jatuh Tempo",IF($L253&lt;=30,"1-30 hari",IF($L253&lt;=60,"31-60 hari",IF($L253&lt;=90,"61-90 hari","Lebih dari 90 hari")))))))</f>
        <v/>
      </c>
      <c r="N253" s="18" t="str">
        <f aca="false">IF($H253="","",IF($L253&lt;=0,"",$L253*1000000+ROW()))</f>
        <v/>
      </c>
    </row>
    <row r="254" customFormat="false" ht="15" hidden="false" customHeight="true" outlineLevel="0" collapsed="false">
      <c r="A254" s="18" t="str">
        <f aca="false">IF($C254="","",COUNTA($C$8:$C254))</f>
        <v/>
      </c>
      <c r="B254" s="40"/>
      <c r="C254" s="41"/>
      <c r="D254" s="19"/>
      <c r="E254" s="19"/>
      <c r="F254" s="42"/>
      <c r="G254" s="35" t="str">
        <f aca="false">IF(OR($B254="",$F254=""),"",$B254+$F254)</f>
        <v/>
      </c>
      <c r="H254" s="43"/>
      <c r="I254" s="43"/>
      <c r="J254" s="37" t="n">
        <f aca="false">IF($H254="",0,$H254-N($I254))</f>
        <v>0</v>
      </c>
      <c r="K254" s="38" t="str">
        <f aca="false">IF($H254="","",IF($J254&lt;0,"Lebih Bayar",IF($J254=0,"Lunas",IF(N($I254)&gt;0,"Bayar Sebagian","Belum Bayar"))))</f>
        <v/>
      </c>
      <c r="L254" s="39" t="n">
        <f aca="true">IF(OR($H254="",$G254=""),0,IF($J254&lt;=0,0,TODAY()-$G254))</f>
        <v>0</v>
      </c>
      <c r="M254" s="38" t="str">
        <f aca="false">IF($H254="","",IF($J254&lt;0,"Lebih Bayar",IF($J254=0,"Lunas",IF($L254&lt;=0,"Belum Jatuh Tempo",IF($L254&lt;=30,"1-30 hari",IF($L254&lt;=60,"31-60 hari",IF($L254&lt;=90,"61-90 hari","Lebih dari 90 hari")))))))</f>
        <v/>
      </c>
      <c r="N254" s="18" t="str">
        <f aca="false">IF($H254="","",IF($L254&lt;=0,"",$L254*1000000+ROW()))</f>
        <v/>
      </c>
    </row>
    <row r="255" customFormat="false" ht="15" hidden="false" customHeight="true" outlineLevel="0" collapsed="false">
      <c r="A255" s="18" t="str">
        <f aca="false">IF($C255="","",COUNTA($C$8:$C255))</f>
        <v/>
      </c>
      <c r="B255" s="44"/>
      <c r="C255" s="45"/>
      <c r="D255" s="46"/>
      <c r="E255" s="46"/>
      <c r="F255" s="47"/>
      <c r="G255" s="35" t="str">
        <f aca="false">IF(OR($B255="",$F255=""),"",$B255+$F255)</f>
        <v/>
      </c>
      <c r="H255" s="48"/>
      <c r="I255" s="48"/>
      <c r="J255" s="37" t="n">
        <f aca="false">IF($H255="",0,$H255-N($I255))</f>
        <v>0</v>
      </c>
      <c r="K255" s="38" t="str">
        <f aca="false">IF($H255="","",IF($J255&lt;0,"Lebih Bayar",IF($J255=0,"Lunas",IF(N($I255)&gt;0,"Bayar Sebagian","Belum Bayar"))))</f>
        <v/>
      </c>
      <c r="L255" s="39" t="n">
        <f aca="true">IF(OR($H255="",$G255=""),0,IF($J255&lt;=0,0,TODAY()-$G255))</f>
        <v>0</v>
      </c>
      <c r="M255" s="38" t="str">
        <f aca="false">IF($H255="","",IF($J255&lt;0,"Lebih Bayar",IF($J255=0,"Lunas",IF($L255&lt;=0,"Belum Jatuh Tempo",IF($L255&lt;=30,"1-30 hari",IF($L255&lt;=60,"31-60 hari",IF($L255&lt;=90,"61-90 hari","Lebih dari 90 hari")))))))</f>
        <v/>
      </c>
      <c r="N255" s="18" t="str">
        <f aca="false">IF($H255="","",IF($L255&lt;=0,"",$L255*1000000+ROW()))</f>
        <v/>
      </c>
    </row>
    <row r="256" customFormat="false" ht="15" hidden="false" customHeight="true" outlineLevel="0" collapsed="false">
      <c r="A256" s="18" t="str">
        <f aca="false">IF($C256="","",COUNTA($C$8:$C256))</f>
        <v/>
      </c>
      <c r="B256" s="40"/>
      <c r="C256" s="41"/>
      <c r="D256" s="19"/>
      <c r="E256" s="19"/>
      <c r="F256" s="42"/>
      <c r="G256" s="35" t="str">
        <f aca="false">IF(OR($B256="",$F256=""),"",$B256+$F256)</f>
        <v/>
      </c>
      <c r="H256" s="43"/>
      <c r="I256" s="43"/>
      <c r="J256" s="37" t="n">
        <f aca="false">IF($H256="",0,$H256-N($I256))</f>
        <v>0</v>
      </c>
      <c r="K256" s="38" t="str">
        <f aca="false">IF($H256="","",IF($J256&lt;0,"Lebih Bayar",IF($J256=0,"Lunas",IF(N($I256)&gt;0,"Bayar Sebagian","Belum Bayar"))))</f>
        <v/>
      </c>
      <c r="L256" s="39" t="n">
        <f aca="true">IF(OR($H256="",$G256=""),0,IF($J256&lt;=0,0,TODAY()-$G256))</f>
        <v>0</v>
      </c>
      <c r="M256" s="38" t="str">
        <f aca="false">IF($H256="","",IF($J256&lt;0,"Lebih Bayar",IF($J256=0,"Lunas",IF($L256&lt;=0,"Belum Jatuh Tempo",IF($L256&lt;=30,"1-30 hari",IF($L256&lt;=60,"31-60 hari",IF($L256&lt;=90,"61-90 hari","Lebih dari 90 hari")))))))</f>
        <v/>
      </c>
      <c r="N256" s="18" t="str">
        <f aca="false">IF($H256="","",IF($L256&lt;=0,"",$L256*1000000+ROW()))</f>
        <v/>
      </c>
    </row>
    <row r="257" customFormat="false" ht="15" hidden="false" customHeight="true" outlineLevel="0" collapsed="false">
      <c r="A257" s="18" t="str">
        <f aca="false">IF($C257="","",COUNTA($C$8:$C257))</f>
        <v/>
      </c>
      <c r="B257" s="44"/>
      <c r="C257" s="45"/>
      <c r="D257" s="46"/>
      <c r="E257" s="46"/>
      <c r="F257" s="47"/>
      <c r="G257" s="35" t="str">
        <f aca="false">IF(OR($B257="",$F257=""),"",$B257+$F257)</f>
        <v/>
      </c>
      <c r="H257" s="48"/>
      <c r="I257" s="48"/>
      <c r="J257" s="37" t="n">
        <f aca="false">IF($H257="",0,$H257-N($I257))</f>
        <v>0</v>
      </c>
      <c r="K257" s="38" t="str">
        <f aca="false">IF($H257="","",IF($J257&lt;0,"Lebih Bayar",IF($J257=0,"Lunas",IF(N($I257)&gt;0,"Bayar Sebagian","Belum Bayar"))))</f>
        <v/>
      </c>
      <c r="L257" s="39" t="n">
        <f aca="true">IF(OR($H257="",$G257=""),0,IF($J257&lt;=0,0,TODAY()-$G257))</f>
        <v>0</v>
      </c>
      <c r="M257" s="38" t="str">
        <f aca="false">IF($H257="","",IF($J257&lt;0,"Lebih Bayar",IF($J257=0,"Lunas",IF($L257&lt;=0,"Belum Jatuh Tempo",IF($L257&lt;=30,"1-30 hari",IF($L257&lt;=60,"31-60 hari",IF($L257&lt;=90,"61-90 hari","Lebih dari 90 hari")))))))</f>
        <v/>
      </c>
      <c r="N257" s="18" t="str">
        <f aca="false">IF($H257="","",IF($L257&lt;=0,"",$L257*1000000+ROW()))</f>
        <v/>
      </c>
    </row>
    <row r="258" customFormat="false" ht="15" hidden="false" customHeight="true" outlineLevel="0" collapsed="false">
      <c r="A258" s="18" t="str">
        <f aca="false">IF($C258="","",COUNTA($C$8:$C258))</f>
        <v/>
      </c>
      <c r="B258" s="40"/>
      <c r="C258" s="41"/>
      <c r="D258" s="19"/>
      <c r="E258" s="19"/>
      <c r="F258" s="42"/>
      <c r="G258" s="35" t="str">
        <f aca="false">IF(OR($B258="",$F258=""),"",$B258+$F258)</f>
        <v/>
      </c>
      <c r="H258" s="43"/>
      <c r="I258" s="43"/>
      <c r="J258" s="37" t="n">
        <f aca="false">IF($H258="",0,$H258-N($I258))</f>
        <v>0</v>
      </c>
      <c r="K258" s="38" t="str">
        <f aca="false">IF($H258="","",IF($J258&lt;0,"Lebih Bayar",IF($J258=0,"Lunas",IF(N($I258)&gt;0,"Bayar Sebagian","Belum Bayar"))))</f>
        <v/>
      </c>
      <c r="L258" s="39" t="n">
        <f aca="true">IF(OR($H258="",$G258=""),0,IF($J258&lt;=0,0,TODAY()-$G258))</f>
        <v>0</v>
      </c>
      <c r="M258" s="38" t="str">
        <f aca="false">IF($H258="","",IF($J258&lt;0,"Lebih Bayar",IF($J258=0,"Lunas",IF($L258&lt;=0,"Belum Jatuh Tempo",IF($L258&lt;=30,"1-30 hari",IF($L258&lt;=60,"31-60 hari",IF($L258&lt;=90,"61-90 hari","Lebih dari 90 hari")))))))</f>
        <v/>
      </c>
      <c r="N258" s="18" t="str">
        <f aca="false">IF($H258="","",IF($L258&lt;=0,"",$L258*1000000+ROW()))</f>
        <v/>
      </c>
    </row>
    <row r="259" customFormat="false" ht="15" hidden="false" customHeight="true" outlineLevel="0" collapsed="false">
      <c r="A259" s="18" t="str">
        <f aca="false">IF($C259="","",COUNTA($C$8:$C259))</f>
        <v/>
      </c>
      <c r="B259" s="44"/>
      <c r="C259" s="45"/>
      <c r="D259" s="46"/>
      <c r="E259" s="46"/>
      <c r="F259" s="47"/>
      <c r="G259" s="35" t="str">
        <f aca="false">IF(OR($B259="",$F259=""),"",$B259+$F259)</f>
        <v/>
      </c>
      <c r="H259" s="48"/>
      <c r="I259" s="48"/>
      <c r="J259" s="37" t="n">
        <f aca="false">IF($H259="",0,$H259-N($I259))</f>
        <v>0</v>
      </c>
      <c r="K259" s="38" t="str">
        <f aca="false">IF($H259="","",IF($J259&lt;0,"Lebih Bayar",IF($J259=0,"Lunas",IF(N($I259)&gt;0,"Bayar Sebagian","Belum Bayar"))))</f>
        <v/>
      </c>
      <c r="L259" s="39" t="n">
        <f aca="true">IF(OR($H259="",$G259=""),0,IF($J259&lt;=0,0,TODAY()-$G259))</f>
        <v>0</v>
      </c>
      <c r="M259" s="38" t="str">
        <f aca="false">IF($H259="","",IF($J259&lt;0,"Lebih Bayar",IF($J259=0,"Lunas",IF($L259&lt;=0,"Belum Jatuh Tempo",IF($L259&lt;=30,"1-30 hari",IF($L259&lt;=60,"31-60 hari",IF($L259&lt;=90,"61-90 hari","Lebih dari 90 hari")))))))</f>
        <v/>
      </c>
      <c r="N259" s="18" t="str">
        <f aca="false">IF($H259="","",IF($L259&lt;=0,"",$L259*1000000+ROW()))</f>
        <v/>
      </c>
    </row>
    <row r="260" customFormat="false" ht="15" hidden="false" customHeight="true" outlineLevel="0" collapsed="false">
      <c r="A260" s="18" t="str">
        <f aca="false">IF($C260="","",COUNTA($C$8:$C260))</f>
        <v/>
      </c>
      <c r="B260" s="40"/>
      <c r="C260" s="41"/>
      <c r="D260" s="19"/>
      <c r="E260" s="19"/>
      <c r="F260" s="42"/>
      <c r="G260" s="35" t="str">
        <f aca="false">IF(OR($B260="",$F260=""),"",$B260+$F260)</f>
        <v/>
      </c>
      <c r="H260" s="43"/>
      <c r="I260" s="43"/>
      <c r="J260" s="37" t="n">
        <f aca="false">IF($H260="",0,$H260-N($I260))</f>
        <v>0</v>
      </c>
      <c r="K260" s="38" t="str">
        <f aca="false">IF($H260="","",IF($J260&lt;0,"Lebih Bayar",IF($J260=0,"Lunas",IF(N($I260)&gt;0,"Bayar Sebagian","Belum Bayar"))))</f>
        <v/>
      </c>
      <c r="L260" s="39" t="n">
        <f aca="true">IF(OR($H260="",$G260=""),0,IF($J260&lt;=0,0,TODAY()-$G260))</f>
        <v>0</v>
      </c>
      <c r="M260" s="38" t="str">
        <f aca="false">IF($H260="","",IF($J260&lt;0,"Lebih Bayar",IF($J260=0,"Lunas",IF($L260&lt;=0,"Belum Jatuh Tempo",IF($L260&lt;=30,"1-30 hari",IF($L260&lt;=60,"31-60 hari",IF($L260&lt;=90,"61-90 hari","Lebih dari 90 hari")))))))</f>
        <v/>
      </c>
      <c r="N260" s="18" t="str">
        <f aca="false">IF($H260="","",IF($L260&lt;=0,"",$L260*1000000+ROW()))</f>
        <v/>
      </c>
    </row>
    <row r="261" customFormat="false" ht="15" hidden="false" customHeight="true" outlineLevel="0" collapsed="false">
      <c r="A261" s="18" t="str">
        <f aca="false">IF($C261="","",COUNTA($C$8:$C261))</f>
        <v/>
      </c>
      <c r="B261" s="44"/>
      <c r="C261" s="45"/>
      <c r="D261" s="46"/>
      <c r="E261" s="46"/>
      <c r="F261" s="47"/>
      <c r="G261" s="35" t="str">
        <f aca="false">IF(OR($B261="",$F261=""),"",$B261+$F261)</f>
        <v/>
      </c>
      <c r="H261" s="48"/>
      <c r="I261" s="48"/>
      <c r="J261" s="37" t="n">
        <f aca="false">IF($H261="",0,$H261-N($I261))</f>
        <v>0</v>
      </c>
      <c r="K261" s="38" t="str">
        <f aca="false">IF($H261="","",IF($J261&lt;0,"Lebih Bayar",IF($J261=0,"Lunas",IF(N($I261)&gt;0,"Bayar Sebagian","Belum Bayar"))))</f>
        <v/>
      </c>
      <c r="L261" s="39" t="n">
        <f aca="true">IF(OR($H261="",$G261=""),0,IF($J261&lt;=0,0,TODAY()-$G261))</f>
        <v>0</v>
      </c>
      <c r="M261" s="38" t="str">
        <f aca="false">IF($H261="","",IF($J261&lt;0,"Lebih Bayar",IF($J261=0,"Lunas",IF($L261&lt;=0,"Belum Jatuh Tempo",IF($L261&lt;=30,"1-30 hari",IF($L261&lt;=60,"31-60 hari",IF($L261&lt;=90,"61-90 hari","Lebih dari 90 hari")))))))</f>
        <v/>
      </c>
      <c r="N261" s="18" t="str">
        <f aca="false">IF($H261="","",IF($L261&lt;=0,"",$L261*1000000+ROW()))</f>
        <v/>
      </c>
    </row>
    <row r="262" customFormat="false" ht="15" hidden="false" customHeight="true" outlineLevel="0" collapsed="false">
      <c r="A262" s="18" t="str">
        <f aca="false">IF($C262="","",COUNTA($C$8:$C262))</f>
        <v/>
      </c>
      <c r="B262" s="40"/>
      <c r="C262" s="41"/>
      <c r="D262" s="19"/>
      <c r="E262" s="19"/>
      <c r="F262" s="42"/>
      <c r="G262" s="35" t="str">
        <f aca="false">IF(OR($B262="",$F262=""),"",$B262+$F262)</f>
        <v/>
      </c>
      <c r="H262" s="43"/>
      <c r="I262" s="43"/>
      <c r="J262" s="37" t="n">
        <f aca="false">IF($H262="",0,$H262-N($I262))</f>
        <v>0</v>
      </c>
      <c r="K262" s="38" t="str">
        <f aca="false">IF($H262="","",IF($J262&lt;0,"Lebih Bayar",IF($J262=0,"Lunas",IF(N($I262)&gt;0,"Bayar Sebagian","Belum Bayar"))))</f>
        <v/>
      </c>
      <c r="L262" s="39" t="n">
        <f aca="true">IF(OR($H262="",$G262=""),0,IF($J262&lt;=0,0,TODAY()-$G262))</f>
        <v>0</v>
      </c>
      <c r="M262" s="38" t="str">
        <f aca="false">IF($H262="","",IF($J262&lt;0,"Lebih Bayar",IF($J262=0,"Lunas",IF($L262&lt;=0,"Belum Jatuh Tempo",IF($L262&lt;=30,"1-30 hari",IF($L262&lt;=60,"31-60 hari",IF($L262&lt;=90,"61-90 hari","Lebih dari 90 hari")))))))</f>
        <v/>
      </c>
      <c r="N262" s="18" t="str">
        <f aca="false">IF($H262="","",IF($L262&lt;=0,"",$L262*1000000+ROW()))</f>
        <v/>
      </c>
    </row>
    <row r="263" customFormat="false" ht="15" hidden="false" customHeight="true" outlineLevel="0" collapsed="false">
      <c r="A263" s="18" t="str">
        <f aca="false">IF($C263="","",COUNTA($C$8:$C263))</f>
        <v/>
      </c>
      <c r="B263" s="44"/>
      <c r="C263" s="45"/>
      <c r="D263" s="46"/>
      <c r="E263" s="46"/>
      <c r="F263" s="47"/>
      <c r="G263" s="35" t="str">
        <f aca="false">IF(OR($B263="",$F263=""),"",$B263+$F263)</f>
        <v/>
      </c>
      <c r="H263" s="48"/>
      <c r="I263" s="48"/>
      <c r="J263" s="37" t="n">
        <f aca="false">IF($H263="",0,$H263-N($I263))</f>
        <v>0</v>
      </c>
      <c r="K263" s="38" t="str">
        <f aca="false">IF($H263="","",IF($J263&lt;0,"Lebih Bayar",IF($J263=0,"Lunas",IF(N($I263)&gt;0,"Bayar Sebagian","Belum Bayar"))))</f>
        <v/>
      </c>
      <c r="L263" s="39" t="n">
        <f aca="true">IF(OR($H263="",$G263=""),0,IF($J263&lt;=0,0,TODAY()-$G263))</f>
        <v>0</v>
      </c>
      <c r="M263" s="38" t="str">
        <f aca="false">IF($H263="","",IF($J263&lt;0,"Lebih Bayar",IF($J263=0,"Lunas",IF($L263&lt;=0,"Belum Jatuh Tempo",IF($L263&lt;=30,"1-30 hari",IF($L263&lt;=60,"31-60 hari",IF($L263&lt;=90,"61-90 hari","Lebih dari 90 hari")))))))</f>
        <v/>
      </c>
      <c r="N263" s="18" t="str">
        <f aca="false">IF($H263="","",IF($L263&lt;=0,"",$L263*1000000+ROW()))</f>
        <v/>
      </c>
    </row>
    <row r="264" customFormat="false" ht="15" hidden="false" customHeight="true" outlineLevel="0" collapsed="false">
      <c r="A264" s="18" t="str">
        <f aca="false">IF($C264="","",COUNTA($C$8:$C264))</f>
        <v/>
      </c>
      <c r="B264" s="40"/>
      <c r="C264" s="41"/>
      <c r="D264" s="19"/>
      <c r="E264" s="19"/>
      <c r="F264" s="42"/>
      <c r="G264" s="35" t="str">
        <f aca="false">IF(OR($B264="",$F264=""),"",$B264+$F264)</f>
        <v/>
      </c>
      <c r="H264" s="43"/>
      <c r="I264" s="43"/>
      <c r="J264" s="37" t="n">
        <f aca="false">IF($H264="",0,$H264-N($I264))</f>
        <v>0</v>
      </c>
      <c r="K264" s="38" t="str">
        <f aca="false">IF($H264="","",IF($J264&lt;0,"Lebih Bayar",IF($J264=0,"Lunas",IF(N($I264)&gt;0,"Bayar Sebagian","Belum Bayar"))))</f>
        <v/>
      </c>
      <c r="L264" s="39" t="n">
        <f aca="true">IF(OR($H264="",$G264=""),0,IF($J264&lt;=0,0,TODAY()-$G264))</f>
        <v>0</v>
      </c>
      <c r="M264" s="38" t="str">
        <f aca="false">IF($H264="","",IF($J264&lt;0,"Lebih Bayar",IF($J264=0,"Lunas",IF($L264&lt;=0,"Belum Jatuh Tempo",IF($L264&lt;=30,"1-30 hari",IF($L264&lt;=60,"31-60 hari",IF($L264&lt;=90,"61-90 hari","Lebih dari 90 hari")))))))</f>
        <v/>
      </c>
      <c r="N264" s="18" t="str">
        <f aca="false">IF($H264="","",IF($L264&lt;=0,"",$L264*1000000+ROW()))</f>
        <v/>
      </c>
    </row>
    <row r="265" customFormat="false" ht="15" hidden="false" customHeight="true" outlineLevel="0" collapsed="false">
      <c r="A265" s="18" t="str">
        <f aca="false">IF($C265="","",COUNTA($C$8:$C265))</f>
        <v/>
      </c>
      <c r="B265" s="44"/>
      <c r="C265" s="45"/>
      <c r="D265" s="46"/>
      <c r="E265" s="46"/>
      <c r="F265" s="47"/>
      <c r="G265" s="35" t="str">
        <f aca="false">IF(OR($B265="",$F265=""),"",$B265+$F265)</f>
        <v/>
      </c>
      <c r="H265" s="48"/>
      <c r="I265" s="48"/>
      <c r="J265" s="37" t="n">
        <f aca="false">IF($H265="",0,$H265-N($I265))</f>
        <v>0</v>
      </c>
      <c r="K265" s="38" t="str">
        <f aca="false">IF($H265="","",IF($J265&lt;0,"Lebih Bayar",IF($J265=0,"Lunas",IF(N($I265)&gt;0,"Bayar Sebagian","Belum Bayar"))))</f>
        <v/>
      </c>
      <c r="L265" s="39" t="n">
        <f aca="true">IF(OR($H265="",$G265=""),0,IF($J265&lt;=0,0,TODAY()-$G265))</f>
        <v>0</v>
      </c>
      <c r="M265" s="38" t="str">
        <f aca="false">IF($H265="","",IF($J265&lt;0,"Lebih Bayar",IF($J265=0,"Lunas",IF($L265&lt;=0,"Belum Jatuh Tempo",IF($L265&lt;=30,"1-30 hari",IF($L265&lt;=60,"31-60 hari",IF($L265&lt;=90,"61-90 hari","Lebih dari 90 hari")))))))</f>
        <v/>
      </c>
      <c r="N265" s="18" t="str">
        <f aca="false">IF($H265="","",IF($L265&lt;=0,"",$L265*1000000+ROW()))</f>
        <v/>
      </c>
    </row>
    <row r="266" customFormat="false" ht="15" hidden="false" customHeight="true" outlineLevel="0" collapsed="false">
      <c r="A266" s="18" t="str">
        <f aca="false">IF($C266="","",COUNTA($C$8:$C266))</f>
        <v/>
      </c>
      <c r="B266" s="40"/>
      <c r="C266" s="41"/>
      <c r="D266" s="19"/>
      <c r="E266" s="19"/>
      <c r="F266" s="42"/>
      <c r="G266" s="35" t="str">
        <f aca="false">IF(OR($B266="",$F266=""),"",$B266+$F266)</f>
        <v/>
      </c>
      <c r="H266" s="43"/>
      <c r="I266" s="43"/>
      <c r="J266" s="37" t="n">
        <f aca="false">IF($H266="",0,$H266-N($I266))</f>
        <v>0</v>
      </c>
      <c r="K266" s="38" t="str">
        <f aca="false">IF($H266="","",IF($J266&lt;0,"Lebih Bayar",IF($J266=0,"Lunas",IF(N($I266)&gt;0,"Bayar Sebagian","Belum Bayar"))))</f>
        <v/>
      </c>
      <c r="L266" s="39" t="n">
        <f aca="true">IF(OR($H266="",$G266=""),0,IF($J266&lt;=0,0,TODAY()-$G266))</f>
        <v>0</v>
      </c>
      <c r="M266" s="38" t="str">
        <f aca="false">IF($H266="","",IF($J266&lt;0,"Lebih Bayar",IF($J266=0,"Lunas",IF($L266&lt;=0,"Belum Jatuh Tempo",IF($L266&lt;=30,"1-30 hari",IF($L266&lt;=60,"31-60 hari",IF($L266&lt;=90,"61-90 hari","Lebih dari 90 hari")))))))</f>
        <v/>
      </c>
      <c r="N266" s="18" t="str">
        <f aca="false">IF($H266="","",IF($L266&lt;=0,"",$L266*1000000+ROW()))</f>
        <v/>
      </c>
    </row>
    <row r="267" customFormat="false" ht="15" hidden="false" customHeight="true" outlineLevel="0" collapsed="false">
      <c r="A267" s="18" t="str">
        <f aca="false">IF($C267="","",COUNTA($C$8:$C267))</f>
        <v/>
      </c>
      <c r="B267" s="44"/>
      <c r="C267" s="45"/>
      <c r="D267" s="46"/>
      <c r="E267" s="46"/>
      <c r="F267" s="47"/>
      <c r="G267" s="35" t="str">
        <f aca="false">IF(OR($B267="",$F267=""),"",$B267+$F267)</f>
        <v/>
      </c>
      <c r="H267" s="48"/>
      <c r="I267" s="48"/>
      <c r="J267" s="37" t="n">
        <f aca="false">IF($H267="",0,$H267-N($I267))</f>
        <v>0</v>
      </c>
      <c r="K267" s="38" t="str">
        <f aca="false">IF($H267="","",IF($J267&lt;0,"Lebih Bayar",IF($J267=0,"Lunas",IF(N($I267)&gt;0,"Bayar Sebagian","Belum Bayar"))))</f>
        <v/>
      </c>
      <c r="L267" s="39" t="n">
        <f aca="true">IF(OR($H267="",$G267=""),0,IF($J267&lt;=0,0,TODAY()-$G267))</f>
        <v>0</v>
      </c>
      <c r="M267" s="38" t="str">
        <f aca="false">IF($H267="","",IF($J267&lt;0,"Lebih Bayar",IF($J267=0,"Lunas",IF($L267&lt;=0,"Belum Jatuh Tempo",IF($L267&lt;=30,"1-30 hari",IF($L267&lt;=60,"31-60 hari",IF($L267&lt;=90,"61-90 hari","Lebih dari 90 hari")))))))</f>
        <v/>
      </c>
      <c r="N267" s="18" t="str">
        <f aca="false">IF($H267="","",IF($L267&lt;=0,"",$L267*1000000+ROW()))</f>
        <v/>
      </c>
    </row>
    <row r="268" customFormat="false" ht="15" hidden="false" customHeight="true" outlineLevel="0" collapsed="false">
      <c r="A268" s="18" t="str">
        <f aca="false">IF($C268="","",COUNTA($C$8:$C268))</f>
        <v/>
      </c>
      <c r="B268" s="40"/>
      <c r="C268" s="41"/>
      <c r="D268" s="19"/>
      <c r="E268" s="19"/>
      <c r="F268" s="42"/>
      <c r="G268" s="35" t="str">
        <f aca="false">IF(OR($B268="",$F268=""),"",$B268+$F268)</f>
        <v/>
      </c>
      <c r="H268" s="43"/>
      <c r="I268" s="43"/>
      <c r="J268" s="37" t="n">
        <f aca="false">IF($H268="",0,$H268-N($I268))</f>
        <v>0</v>
      </c>
      <c r="K268" s="38" t="str">
        <f aca="false">IF($H268="","",IF($J268&lt;0,"Lebih Bayar",IF($J268=0,"Lunas",IF(N($I268)&gt;0,"Bayar Sebagian","Belum Bayar"))))</f>
        <v/>
      </c>
      <c r="L268" s="39" t="n">
        <f aca="true">IF(OR($H268="",$G268=""),0,IF($J268&lt;=0,0,TODAY()-$G268))</f>
        <v>0</v>
      </c>
      <c r="M268" s="38" t="str">
        <f aca="false">IF($H268="","",IF($J268&lt;0,"Lebih Bayar",IF($J268=0,"Lunas",IF($L268&lt;=0,"Belum Jatuh Tempo",IF($L268&lt;=30,"1-30 hari",IF($L268&lt;=60,"31-60 hari",IF($L268&lt;=90,"61-90 hari","Lebih dari 90 hari")))))))</f>
        <v/>
      </c>
      <c r="N268" s="18" t="str">
        <f aca="false">IF($H268="","",IF($L268&lt;=0,"",$L268*1000000+ROW()))</f>
        <v/>
      </c>
    </row>
    <row r="269" customFormat="false" ht="15" hidden="false" customHeight="true" outlineLevel="0" collapsed="false">
      <c r="A269" s="18" t="str">
        <f aca="false">IF($C269="","",COUNTA($C$8:$C269))</f>
        <v/>
      </c>
      <c r="B269" s="44"/>
      <c r="C269" s="45"/>
      <c r="D269" s="46"/>
      <c r="E269" s="46"/>
      <c r="F269" s="47"/>
      <c r="G269" s="35" t="str">
        <f aca="false">IF(OR($B269="",$F269=""),"",$B269+$F269)</f>
        <v/>
      </c>
      <c r="H269" s="48"/>
      <c r="I269" s="48"/>
      <c r="J269" s="37" t="n">
        <f aca="false">IF($H269="",0,$H269-N($I269))</f>
        <v>0</v>
      </c>
      <c r="K269" s="38" t="str">
        <f aca="false">IF($H269="","",IF($J269&lt;0,"Lebih Bayar",IF($J269=0,"Lunas",IF(N($I269)&gt;0,"Bayar Sebagian","Belum Bayar"))))</f>
        <v/>
      </c>
      <c r="L269" s="39" t="n">
        <f aca="true">IF(OR($H269="",$G269=""),0,IF($J269&lt;=0,0,TODAY()-$G269))</f>
        <v>0</v>
      </c>
      <c r="M269" s="38" t="str">
        <f aca="false">IF($H269="","",IF($J269&lt;0,"Lebih Bayar",IF($J269=0,"Lunas",IF($L269&lt;=0,"Belum Jatuh Tempo",IF($L269&lt;=30,"1-30 hari",IF($L269&lt;=60,"31-60 hari",IF($L269&lt;=90,"61-90 hari","Lebih dari 90 hari")))))))</f>
        <v/>
      </c>
      <c r="N269" s="18" t="str">
        <f aca="false">IF($H269="","",IF($L269&lt;=0,"",$L269*1000000+ROW()))</f>
        <v/>
      </c>
    </row>
    <row r="270" customFormat="false" ht="15" hidden="false" customHeight="true" outlineLevel="0" collapsed="false">
      <c r="A270" s="18" t="str">
        <f aca="false">IF($C270="","",COUNTA($C$8:$C270))</f>
        <v/>
      </c>
      <c r="B270" s="40"/>
      <c r="C270" s="41"/>
      <c r="D270" s="19"/>
      <c r="E270" s="19"/>
      <c r="F270" s="42"/>
      <c r="G270" s="35" t="str">
        <f aca="false">IF(OR($B270="",$F270=""),"",$B270+$F270)</f>
        <v/>
      </c>
      <c r="H270" s="43"/>
      <c r="I270" s="43"/>
      <c r="J270" s="37" t="n">
        <f aca="false">IF($H270="",0,$H270-N($I270))</f>
        <v>0</v>
      </c>
      <c r="K270" s="38" t="str">
        <f aca="false">IF($H270="","",IF($J270&lt;0,"Lebih Bayar",IF($J270=0,"Lunas",IF(N($I270)&gt;0,"Bayar Sebagian","Belum Bayar"))))</f>
        <v/>
      </c>
      <c r="L270" s="39" t="n">
        <f aca="true">IF(OR($H270="",$G270=""),0,IF($J270&lt;=0,0,TODAY()-$G270))</f>
        <v>0</v>
      </c>
      <c r="M270" s="38" t="str">
        <f aca="false">IF($H270="","",IF($J270&lt;0,"Lebih Bayar",IF($J270=0,"Lunas",IF($L270&lt;=0,"Belum Jatuh Tempo",IF($L270&lt;=30,"1-30 hari",IF($L270&lt;=60,"31-60 hari",IF($L270&lt;=90,"61-90 hari","Lebih dari 90 hari")))))))</f>
        <v/>
      </c>
      <c r="N270" s="18" t="str">
        <f aca="false">IF($H270="","",IF($L270&lt;=0,"",$L270*1000000+ROW()))</f>
        <v/>
      </c>
    </row>
    <row r="271" customFormat="false" ht="15" hidden="false" customHeight="true" outlineLevel="0" collapsed="false">
      <c r="A271" s="18" t="str">
        <f aca="false">IF($C271="","",COUNTA($C$8:$C271))</f>
        <v/>
      </c>
      <c r="B271" s="44"/>
      <c r="C271" s="45"/>
      <c r="D271" s="46"/>
      <c r="E271" s="46"/>
      <c r="F271" s="47"/>
      <c r="G271" s="35" t="str">
        <f aca="false">IF(OR($B271="",$F271=""),"",$B271+$F271)</f>
        <v/>
      </c>
      <c r="H271" s="48"/>
      <c r="I271" s="48"/>
      <c r="J271" s="37" t="n">
        <f aca="false">IF($H271="",0,$H271-N($I271))</f>
        <v>0</v>
      </c>
      <c r="K271" s="38" t="str">
        <f aca="false">IF($H271="","",IF($J271&lt;0,"Lebih Bayar",IF($J271=0,"Lunas",IF(N($I271)&gt;0,"Bayar Sebagian","Belum Bayar"))))</f>
        <v/>
      </c>
      <c r="L271" s="39" t="n">
        <f aca="true">IF(OR($H271="",$G271=""),0,IF($J271&lt;=0,0,TODAY()-$G271))</f>
        <v>0</v>
      </c>
      <c r="M271" s="38" t="str">
        <f aca="false">IF($H271="","",IF($J271&lt;0,"Lebih Bayar",IF($J271=0,"Lunas",IF($L271&lt;=0,"Belum Jatuh Tempo",IF($L271&lt;=30,"1-30 hari",IF($L271&lt;=60,"31-60 hari",IF($L271&lt;=90,"61-90 hari","Lebih dari 90 hari")))))))</f>
        <v/>
      </c>
      <c r="N271" s="18" t="str">
        <f aca="false">IF($H271="","",IF($L271&lt;=0,"",$L271*1000000+ROW()))</f>
        <v/>
      </c>
    </row>
    <row r="272" customFormat="false" ht="15" hidden="false" customHeight="true" outlineLevel="0" collapsed="false">
      <c r="A272" s="18" t="str">
        <f aca="false">IF($C272="","",COUNTA($C$8:$C272))</f>
        <v/>
      </c>
      <c r="B272" s="40"/>
      <c r="C272" s="41"/>
      <c r="D272" s="19"/>
      <c r="E272" s="19"/>
      <c r="F272" s="42"/>
      <c r="G272" s="35" t="str">
        <f aca="false">IF(OR($B272="",$F272=""),"",$B272+$F272)</f>
        <v/>
      </c>
      <c r="H272" s="43"/>
      <c r="I272" s="43"/>
      <c r="J272" s="37" t="n">
        <f aca="false">IF($H272="",0,$H272-N($I272))</f>
        <v>0</v>
      </c>
      <c r="K272" s="38" t="str">
        <f aca="false">IF($H272="","",IF($J272&lt;0,"Lebih Bayar",IF($J272=0,"Lunas",IF(N($I272)&gt;0,"Bayar Sebagian","Belum Bayar"))))</f>
        <v/>
      </c>
      <c r="L272" s="39" t="n">
        <f aca="true">IF(OR($H272="",$G272=""),0,IF($J272&lt;=0,0,TODAY()-$G272))</f>
        <v>0</v>
      </c>
      <c r="M272" s="38" t="str">
        <f aca="false">IF($H272="","",IF($J272&lt;0,"Lebih Bayar",IF($J272=0,"Lunas",IF($L272&lt;=0,"Belum Jatuh Tempo",IF($L272&lt;=30,"1-30 hari",IF($L272&lt;=60,"31-60 hari",IF($L272&lt;=90,"61-90 hari","Lebih dari 90 hari")))))))</f>
        <v/>
      </c>
      <c r="N272" s="18" t="str">
        <f aca="false">IF($H272="","",IF($L272&lt;=0,"",$L272*1000000+ROW()))</f>
        <v/>
      </c>
    </row>
    <row r="273" customFormat="false" ht="15" hidden="false" customHeight="true" outlineLevel="0" collapsed="false">
      <c r="A273" s="18" t="str">
        <f aca="false">IF($C273="","",COUNTA($C$8:$C273))</f>
        <v/>
      </c>
      <c r="B273" s="44"/>
      <c r="C273" s="45"/>
      <c r="D273" s="46"/>
      <c r="E273" s="46"/>
      <c r="F273" s="47"/>
      <c r="G273" s="35" t="str">
        <f aca="false">IF(OR($B273="",$F273=""),"",$B273+$F273)</f>
        <v/>
      </c>
      <c r="H273" s="48"/>
      <c r="I273" s="48"/>
      <c r="J273" s="37" t="n">
        <f aca="false">IF($H273="",0,$H273-N($I273))</f>
        <v>0</v>
      </c>
      <c r="K273" s="38" t="str">
        <f aca="false">IF($H273="","",IF($J273&lt;0,"Lebih Bayar",IF($J273=0,"Lunas",IF(N($I273)&gt;0,"Bayar Sebagian","Belum Bayar"))))</f>
        <v/>
      </c>
      <c r="L273" s="39" t="n">
        <f aca="true">IF(OR($H273="",$G273=""),0,IF($J273&lt;=0,0,TODAY()-$G273))</f>
        <v>0</v>
      </c>
      <c r="M273" s="38" t="str">
        <f aca="false">IF($H273="","",IF($J273&lt;0,"Lebih Bayar",IF($J273=0,"Lunas",IF($L273&lt;=0,"Belum Jatuh Tempo",IF($L273&lt;=30,"1-30 hari",IF($L273&lt;=60,"31-60 hari",IF($L273&lt;=90,"61-90 hari","Lebih dari 90 hari")))))))</f>
        <v/>
      </c>
      <c r="N273" s="18" t="str">
        <f aca="false">IF($H273="","",IF($L273&lt;=0,"",$L273*1000000+ROW()))</f>
        <v/>
      </c>
    </row>
    <row r="274" customFormat="false" ht="15" hidden="false" customHeight="true" outlineLevel="0" collapsed="false">
      <c r="A274" s="18" t="str">
        <f aca="false">IF($C274="","",COUNTA($C$8:$C274))</f>
        <v/>
      </c>
      <c r="B274" s="40"/>
      <c r="C274" s="41"/>
      <c r="D274" s="19"/>
      <c r="E274" s="19"/>
      <c r="F274" s="42"/>
      <c r="G274" s="35" t="str">
        <f aca="false">IF(OR($B274="",$F274=""),"",$B274+$F274)</f>
        <v/>
      </c>
      <c r="H274" s="43"/>
      <c r="I274" s="43"/>
      <c r="J274" s="37" t="n">
        <f aca="false">IF($H274="",0,$H274-N($I274))</f>
        <v>0</v>
      </c>
      <c r="K274" s="38" t="str">
        <f aca="false">IF($H274="","",IF($J274&lt;0,"Lebih Bayar",IF($J274=0,"Lunas",IF(N($I274)&gt;0,"Bayar Sebagian","Belum Bayar"))))</f>
        <v/>
      </c>
      <c r="L274" s="39" t="n">
        <f aca="true">IF(OR($H274="",$G274=""),0,IF($J274&lt;=0,0,TODAY()-$G274))</f>
        <v>0</v>
      </c>
      <c r="M274" s="38" t="str">
        <f aca="false">IF($H274="","",IF($J274&lt;0,"Lebih Bayar",IF($J274=0,"Lunas",IF($L274&lt;=0,"Belum Jatuh Tempo",IF($L274&lt;=30,"1-30 hari",IF($L274&lt;=60,"31-60 hari",IF($L274&lt;=90,"61-90 hari","Lebih dari 90 hari")))))))</f>
        <v/>
      </c>
      <c r="N274" s="18" t="str">
        <f aca="false">IF($H274="","",IF($L274&lt;=0,"",$L274*1000000+ROW()))</f>
        <v/>
      </c>
    </row>
    <row r="275" customFormat="false" ht="15" hidden="false" customHeight="true" outlineLevel="0" collapsed="false">
      <c r="A275" s="18" t="str">
        <f aca="false">IF($C275="","",COUNTA($C$8:$C275))</f>
        <v/>
      </c>
      <c r="B275" s="44"/>
      <c r="C275" s="45"/>
      <c r="D275" s="46"/>
      <c r="E275" s="46"/>
      <c r="F275" s="47"/>
      <c r="G275" s="35" t="str">
        <f aca="false">IF(OR($B275="",$F275=""),"",$B275+$F275)</f>
        <v/>
      </c>
      <c r="H275" s="48"/>
      <c r="I275" s="48"/>
      <c r="J275" s="37" t="n">
        <f aca="false">IF($H275="",0,$H275-N($I275))</f>
        <v>0</v>
      </c>
      <c r="K275" s="38" t="str">
        <f aca="false">IF($H275="","",IF($J275&lt;0,"Lebih Bayar",IF($J275=0,"Lunas",IF(N($I275)&gt;0,"Bayar Sebagian","Belum Bayar"))))</f>
        <v/>
      </c>
      <c r="L275" s="39" t="n">
        <f aca="true">IF(OR($H275="",$G275=""),0,IF($J275&lt;=0,0,TODAY()-$G275))</f>
        <v>0</v>
      </c>
      <c r="M275" s="38" t="str">
        <f aca="false">IF($H275="","",IF($J275&lt;0,"Lebih Bayar",IF($J275=0,"Lunas",IF($L275&lt;=0,"Belum Jatuh Tempo",IF($L275&lt;=30,"1-30 hari",IF($L275&lt;=60,"31-60 hari",IF($L275&lt;=90,"61-90 hari","Lebih dari 90 hari")))))))</f>
        <v/>
      </c>
      <c r="N275" s="18" t="str">
        <f aca="false">IF($H275="","",IF($L275&lt;=0,"",$L275*1000000+ROW()))</f>
        <v/>
      </c>
    </row>
    <row r="276" customFormat="false" ht="15" hidden="false" customHeight="true" outlineLevel="0" collapsed="false">
      <c r="A276" s="18" t="str">
        <f aca="false">IF($C276="","",COUNTA($C$8:$C276))</f>
        <v/>
      </c>
      <c r="B276" s="40"/>
      <c r="C276" s="41"/>
      <c r="D276" s="19"/>
      <c r="E276" s="19"/>
      <c r="F276" s="42"/>
      <c r="G276" s="35" t="str">
        <f aca="false">IF(OR($B276="",$F276=""),"",$B276+$F276)</f>
        <v/>
      </c>
      <c r="H276" s="43"/>
      <c r="I276" s="43"/>
      <c r="J276" s="37" t="n">
        <f aca="false">IF($H276="",0,$H276-N($I276))</f>
        <v>0</v>
      </c>
      <c r="K276" s="38" t="str">
        <f aca="false">IF($H276="","",IF($J276&lt;0,"Lebih Bayar",IF($J276=0,"Lunas",IF(N($I276)&gt;0,"Bayar Sebagian","Belum Bayar"))))</f>
        <v/>
      </c>
      <c r="L276" s="39" t="n">
        <f aca="true">IF(OR($H276="",$G276=""),0,IF($J276&lt;=0,0,TODAY()-$G276))</f>
        <v>0</v>
      </c>
      <c r="M276" s="38" t="str">
        <f aca="false">IF($H276="","",IF($J276&lt;0,"Lebih Bayar",IF($J276=0,"Lunas",IF($L276&lt;=0,"Belum Jatuh Tempo",IF($L276&lt;=30,"1-30 hari",IF($L276&lt;=60,"31-60 hari",IF($L276&lt;=90,"61-90 hari","Lebih dari 90 hari")))))))</f>
        <v/>
      </c>
      <c r="N276" s="18" t="str">
        <f aca="false">IF($H276="","",IF($L276&lt;=0,"",$L276*1000000+ROW()))</f>
        <v/>
      </c>
    </row>
    <row r="277" customFormat="false" ht="15" hidden="false" customHeight="true" outlineLevel="0" collapsed="false">
      <c r="A277" s="18" t="str">
        <f aca="false">IF($C277="","",COUNTA($C$8:$C277))</f>
        <v/>
      </c>
      <c r="B277" s="44"/>
      <c r="C277" s="45"/>
      <c r="D277" s="46"/>
      <c r="E277" s="46"/>
      <c r="F277" s="47"/>
      <c r="G277" s="35" t="str">
        <f aca="false">IF(OR($B277="",$F277=""),"",$B277+$F277)</f>
        <v/>
      </c>
      <c r="H277" s="48"/>
      <c r="I277" s="48"/>
      <c r="J277" s="37" t="n">
        <f aca="false">IF($H277="",0,$H277-N($I277))</f>
        <v>0</v>
      </c>
      <c r="K277" s="38" t="str">
        <f aca="false">IF($H277="","",IF($J277&lt;0,"Lebih Bayar",IF($J277=0,"Lunas",IF(N($I277)&gt;0,"Bayar Sebagian","Belum Bayar"))))</f>
        <v/>
      </c>
      <c r="L277" s="39" t="n">
        <f aca="true">IF(OR($H277="",$G277=""),0,IF($J277&lt;=0,0,TODAY()-$G277))</f>
        <v>0</v>
      </c>
      <c r="M277" s="38" t="str">
        <f aca="false">IF($H277="","",IF($J277&lt;0,"Lebih Bayar",IF($J277=0,"Lunas",IF($L277&lt;=0,"Belum Jatuh Tempo",IF($L277&lt;=30,"1-30 hari",IF($L277&lt;=60,"31-60 hari",IF($L277&lt;=90,"61-90 hari","Lebih dari 90 hari")))))))</f>
        <v/>
      </c>
      <c r="N277" s="18" t="str">
        <f aca="false">IF($H277="","",IF($L277&lt;=0,"",$L277*1000000+ROW()))</f>
        <v/>
      </c>
    </row>
    <row r="278" customFormat="false" ht="15" hidden="false" customHeight="true" outlineLevel="0" collapsed="false">
      <c r="A278" s="18" t="str">
        <f aca="false">IF($C278="","",COUNTA($C$8:$C278))</f>
        <v/>
      </c>
      <c r="B278" s="40"/>
      <c r="C278" s="41"/>
      <c r="D278" s="19"/>
      <c r="E278" s="19"/>
      <c r="F278" s="42"/>
      <c r="G278" s="35" t="str">
        <f aca="false">IF(OR($B278="",$F278=""),"",$B278+$F278)</f>
        <v/>
      </c>
      <c r="H278" s="43"/>
      <c r="I278" s="43"/>
      <c r="J278" s="37" t="n">
        <f aca="false">IF($H278="",0,$H278-N($I278))</f>
        <v>0</v>
      </c>
      <c r="K278" s="38" t="str">
        <f aca="false">IF($H278="","",IF($J278&lt;0,"Lebih Bayar",IF($J278=0,"Lunas",IF(N($I278)&gt;0,"Bayar Sebagian","Belum Bayar"))))</f>
        <v/>
      </c>
      <c r="L278" s="39" t="n">
        <f aca="true">IF(OR($H278="",$G278=""),0,IF($J278&lt;=0,0,TODAY()-$G278))</f>
        <v>0</v>
      </c>
      <c r="M278" s="38" t="str">
        <f aca="false">IF($H278="","",IF($J278&lt;0,"Lebih Bayar",IF($J278=0,"Lunas",IF($L278&lt;=0,"Belum Jatuh Tempo",IF($L278&lt;=30,"1-30 hari",IF($L278&lt;=60,"31-60 hari",IF($L278&lt;=90,"61-90 hari","Lebih dari 90 hari")))))))</f>
        <v/>
      </c>
      <c r="N278" s="18" t="str">
        <f aca="false">IF($H278="","",IF($L278&lt;=0,"",$L278*1000000+ROW()))</f>
        <v/>
      </c>
    </row>
    <row r="279" customFormat="false" ht="15" hidden="false" customHeight="true" outlineLevel="0" collapsed="false">
      <c r="A279" s="18" t="str">
        <f aca="false">IF($C279="","",COUNTA($C$8:$C279))</f>
        <v/>
      </c>
      <c r="B279" s="44"/>
      <c r="C279" s="45"/>
      <c r="D279" s="46"/>
      <c r="E279" s="46"/>
      <c r="F279" s="47"/>
      <c r="G279" s="35" t="str">
        <f aca="false">IF(OR($B279="",$F279=""),"",$B279+$F279)</f>
        <v/>
      </c>
      <c r="H279" s="48"/>
      <c r="I279" s="48"/>
      <c r="J279" s="37" t="n">
        <f aca="false">IF($H279="",0,$H279-N($I279))</f>
        <v>0</v>
      </c>
      <c r="K279" s="38" t="str">
        <f aca="false">IF($H279="","",IF($J279&lt;0,"Lebih Bayar",IF($J279=0,"Lunas",IF(N($I279)&gt;0,"Bayar Sebagian","Belum Bayar"))))</f>
        <v/>
      </c>
      <c r="L279" s="39" t="n">
        <f aca="true">IF(OR($H279="",$G279=""),0,IF($J279&lt;=0,0,TODAY()-$G279))</f>
        <v>0</v>
      </c>
      <c r="M279" s="38" t="str">
        <f aca="false">IF($H279="","",IF($J279&lt;0,"Lebih Bayar",IF($J279=0,"Lunas",IF($L279&lt;=0,"Belum Jatuh Tempo",IF($L279&lt;=30,"1-30 hari",IF($L279&lt;=60,"31-60 hari",IF($L279&lt;=90,"61-90 hari","Lebih dari 90 hari")))))))</f>
        <v/>
      </c>
      <c r="N279" s="18" t="str">
        <f aca="false">IF($H279="","",IF($L279&lt;=0,"",$L279*1000000+ROW()))</f>
        <v/>
      </c>
    </row>
    <row r="280" customFormat="false" ht="15" hidden="false" customHeight="true" outlineLevel="0" collapsed="false">
      <c r="A280" s="18" t="str">
        <f aca="false">IF($C280="","",COUNTA($C$8:$C280))</f>
        <v/>
      </c>
      <c r="B280" s="40"/>
      <c r="C280" s="41"/>
      <c r="D280" s="19"/>
      <c r="E280" s="19"/>
      <c r="F280" s="42"/>
      <c r="G280" s="35" t="str">
        <f aca="false">IF(OR($B280="",$F280=""),"",$B280+$F280)</f>
        <v/>
      </c>
      <c r="H280" s="43"/>
      <c r="I280" s="43"/>
      <c r="J280" s="37" t="n">
        <f aca="false">IF($H280="",0,$H280-N($I280))</f>
        <v>0</v>
      </c>
      <c r="K280" s="38" t="str">
        <f aca="false">IF($H280="","",IF($J280&lt;0,"Lebih Bayar",IF($J280=0,"Lunas",IF(N($I280)&gt;0,"Bayar Sebagian","Belum Bayar"))))</f>
        <v/>
      </c>
      <c r="L280" s="39" t="n">
        <f aca="true">IF(OR($H280="",$G280=""),0,IF($J280&lt;=0,0,TODAY()-$G280))</f>
        <v>0</v>
      </c>
      <c r="M280" s="38" t="str">
        <f aca="false">IF($H280="","",IF($J280&lt;0,"Lebih Bayar",IF($J280=0,"Lunas",IF($L280&lt;=0,"Belum Jatuh Tempo",IF($L280&lt;=30,"1-30 hari",IF($L280&lt;=60,"31-60 hari",IF($L280&lt;=90,"61-90 hari","Lebih dari 90 hari")))))))</f>
        <v/>
      </c>
      <c r="N280" s="18" t="str">
        <f aca="false">IF($H280="","",IF($L280&lt;=0,"",$L280*1000000+ROW()))</f>
        <v/>
      </c>
    </row>
    <row r="281" customFormat="false" ht="15" hidden="false" customHeight="true" outlineLevel="0" collapsed="false">
      <c r="A281" s="18" t="str">
        <f aca="false">IF($C281="","",COUNTA($C$8:$C281))</f>
        <v/>
      </c>
      <c r="B281" s="44"/>
      <c r="C281" s="45"/>
      <c r="D281" s="46"/>
      <c r="E281" s="46"/>
      <c r="F281" s="47"/>
      <c r="G281" s="35" t="str">
        <f aca="false">IF(OR($B281="",$F281=""),"",$B281+$F281)</f>
        <v/>
      </c>
      <c r="H281" s="48"/>
      <c r="I281" s="48"/>
      <c r="J281" s="37" t="n">
        <f aca="false">IF($H281="",0,$H281-N($I281))</f>
        <v>0</v>
      </c>
      <c r="K281" s="38" t="str">
        <f aca="false">IF($H281="","",IF($J281&lt;0,"Lebih Bayar",IF($J281=0,"Lunas",IF(N($I281)&gt;0,"Bayar Sebagian","Belum Bayar"))))</f>
        <v/>
      </c>
      <c r="L281" s="39" t="n">
        <f aca="true">IF(OR($H281="",$G281=""),0,IF($J281&lt;=0,0,TODAY()-$G281))</f>
        <v>0</v>
      </c>
      <c r="M281" s="38" t="str">
        <f aca="false">IF($H281="","",IF($J281&lt;0,"Lebih Bayar",IF($J281=0,"Lunas",IF($L281&lt;=0,"Belum Jatuh Tempo",IF($L281&lt;=30,"1-30 hari",IF($L281&lt;=60,"31-60 hari",IF($L281&lt;=90,"61-90 hari","Lebih dari 90 hari")))))))</f>
        <v/>
      </c>
      <c r="N281" s="18" t="str">
        <f aca="false">IF($H281="","",IF($L281&lt;=0,"",$L281*1000000+ROW()))</f>
        <v/>
      </c>
    </row>
    <row r="282" customFormat="false" ht="15" hidden="false" customHeight="true" outlineLevel="0" collapsed="false">
      <c r="A282" s="18" t="str">
        <f aca="false">IF($C282="","",COUNTA($C$8:$C282))</f>
        <v/>
      </c>
      <c r="B282" s="40"/>
      <c r="C282" s="41"/>
      <c r="D282" s="19"/>
      <c r="E282" s="19"/>
      <c r="F282" s="42"/>
      <c r="G282" s="35" t="str">
        <f aca="false">IF(OR($B282="",$F282=""),"",$B282+$F282)</f>
        <v/>
      </c>
      <c r="H282" s="43"/>
      <c r="I282" s="43"/>
      <c r="J282" s="37" t="n">
        <f aca="false">IF($H282="",0,$H282-N($I282))</f>
        <v>0</v>
      </c>
      <c r="K282" s="38" t="str">
        <f aca="false">IF($H282="","",IF($J282&lt;0,"Lebih Bayar",IF($J282=0,"Lunas",IF(N($I282)&gt;0,"Bayar Sebagian","Belum Bayar"))))</f>
        <v/>
      </c>
      <c r="L282" s="39" t="n">
        <f aca="true">IF(OR($H282="",$G282=""),0,IF($J282&lt;=0,0,TODAY()-$G282))</f>
        <v>0</v>
      </c>
      <c r="M282" s="38" t="str">
        <f aca="false">IF($H282="","",IF($J282&lt;0,"Lebih Bayar",IF($J282=0,"Lunas",IF($L282&lt;=0,"Belum Jatuh Tempo",IF($L282&lt;=30,"1-30 hari",IF($L282&lt;=60,"31-60 hari",IF($L282&lt;=90,"61-90 hari","Lebih dari 90 hari")))))))</f>
        <v/>
      </c>
      <c r="N282" s="18" t="str">
        <f aca="false">IF($H282="","",IF($L282&lt;=0,"",$L282*1000000+ROW()))</f>
        <v/>
      </c>
    </row>
    <row r="283" customFormat="false" ht="15" hidden="false" customHeight="true" outlineLevel="0" collapsed="false">
      <c r="A283" s="18" t="str">
        <f aca="false">IF($C283="","",COUNTA($C$8:$C283))</f>
        <v/>
      </c>
      <c r="B283" s="44"/>
      <c r="C283" s="45"/>
      <c r="D283" s="46"/>
      <c r="E283" s="46"/>
      <c r="F283" s="47"/>
      <c r="G283" s="35" t="str">
        <f aca="false">IF(OR($B283="",$F283=""),"",$B283+$F283)</f>
        <v/>
      </c>
      <c r="H283" s="48"/>
      <c r="I283" s="48"/>
      <c r="J283" s="37" t="n">
        <f aca="false">IF($H283="",0,$H283-N($I283))</f>
        <v>0</v>
      </c>
      <c r="K283" s="38" t="str">
        <f aca="false">IF($H283="","",IF($J283&lt;0,"Lebih Bayar",IF($J283=0,"Lunas",IF(N($I283)&gt;0,"Bayar Sebagian","Belum Bayar"))))</f>
        <v/>
      </c>
      <c r="L283" s="39" t="n">
        <f aca="true">IF(OR($H283="",$G283=""),0,IF($J283&lt;=0,0,TODAY()-$G283))</f>
        <v>0</v>
      </c>
      <c r="M283" s="38" t="str">
        <f aca="false">IF($H283="","",IF($J283&lt;0,"Lebih Bayar",IF($J283=0,"Lunas",IF($L283&lt;=0,"Belum Jatuh Tempo",IF($L283&lt;=30,"1-30 hari",IF($L283&lt;=60,"31-60 hari",IF($L283&lt;=90,"61-90 hari","Lebih dari 90 hari")))))))</f>
        <v/>
      </c>
      <c r="N283" s="18" t="str">
        <f aca="false">IF($H283="","",IF($L283&lt;=0,"",$L283*1000000+ROW()))</f>
        <v/>
      </c>
    </row>
    <row r="284" customFormat="false" ht="15" hidden="false" customHeight="true" outlineLevel="0" collapsed="false">
      <c r="A284" s="18" t="str">
        <f aca="false">IF($C284="","",COUNTA($C$8:$C284))</f>
        <v/>
      </c>
      <c r="B284" s="40"/>
      <c r="C284" s="41"/>
      <c r="D284" s="19"/>
      <c r="E284" s="19"/>
      <c r="F284" s="42"/>
      <c r="G284" s="35" t="str">
        <f aca="false">IF(OR($B284="",$F284=""),"",$B284+$F284)</f>
        <v/>
      </c>
      <c r="H284" s="43"/>
      <c r="I284" s="43"/>
      <c r="J284" s="37" t="n">
        <f aca="false">IF($H284="",0,$H284-N($I284))</f>
        <v>0</v>
      </c>
      <c r="K284" s="38" t="str">
        <f aca="false">IF($H284="","",IF($J284&lt;0,"Lebih Bayar",IF($J284=0,"Lunas",IF(N($I284)&gt;0,"Bayar Sebagian","Belum Bayar"))))</f>
        <v/>
      </c>
      <c r="L284" s="39" t="n">
        <f aca="true">IF(OR($H284="",$G284=""),0,IF($J284&lt;=0,0,TODAY()-$G284))</f>
        <v>0</v>
      </c>
      <c r="M284" s="38" t="str">
        <f aca="false">IF($H284="","",IF($J284&lt;0,"Lebih Bayar",IF($J284=0,"Lunas",IF($L284&lt;=0,"Belum Jatuh Tempo",IF($L284&lt;=30,"1-30 hari",IF($L284&lt;=60,"31-60 hari",IF($L284&lt;=90,"61-90 hari","Lebih dari 90 hari")))))))</f>
        <v/>
      </c>
      <c r="N284" s="18" t="str">
        <f aca="false">IF($H284="","",IF($L284&lt;=0,"",$L284*1000000+ROW()))</f>
        <v/>
      </c>
    </row>
    <row r="285" customFormat="false" ht="15" hidden="false" customHeight="true" outlineLevel="0" collapsed="false">
      <c r="A285" s="18" t="str">
        <f aca="false">IF($C285="","",COUNTA($C$8:$C285))</f>
        <v/>
      </c>
      <c r="B285" s="44"/>
      <c r="C285" s="45"/>
      <c r="D285" s="46"/>
      <c r="E285" s="46"/>
      <c r="F285" s="47"/>
      <c r="G285" s="35" t="str">
        <f aca="false">IF(OR($B285="",$F285=""),"",$B285+$F285)</f>
        <v/>
      </c>
      <c r="H285" s="48"/>
      <c r="I285" s="48"/>
      <c r="J285" s="37" t="n">
        <f aca="false">IF($H285="",0,$H285-N($I285))</f>
        <v>0</v>
      </c>
      <c r="K285" s="38" t="str">
        <f aca="false">IF($H285="","",IF($J285&lt;0,"Lebih Bayar",IF($J285=0,"Lunas",IF(N($I285)&gt;0,"Bayar Sebagian","Belum Bayar"))))</f>
        <v/>
      </c>
      <c r="L285" s="39" t="n">
        <f aca="true">IF(OR($H285="",$G285=""),0,IF($J285&lt;=0,0,TODAY()-$G285))</f>
        <v>0</v>
      </c>
      <c r="M285" s="38" t="str">
        <f aca="false">IF($H285="","",IF($J285&lt;0,"Lebih Bayar",IF($J285=0,"Lunas",IF($L285&lt;=0,"Belum Jatuh Tempo",IF($L285&lt;=30,"1-30 hari",IF($L285&lt;=60,"31-60 hari",IF($L285&lt;=90,"61-90 hari","Lebih dari 90 hari")))))))</f>
        <v/>
      </c>
      <c r="N285" s="18" t="str">
        <f aca="false">IF($H285="","",IF($L285&lt;=0,"",$L285*1000000+ROW()))</f>
        <v/>
      </c>
    </row>
    <row r="286" customFormat="false" ht="15" hidden="false" customHeight="true" outlineLevel="0" collapsed="false">
      <c r="A286" s="18" t="str">
        <f aca="false">IF($C286="","",COUNTA($C$8:$C286))</f>
        <v/>
      </c>
      <c r="B286" s="40"/>
      <c r="C286" s="41"/>
      <c r="D286" s="19"/>
      <c r="E286" s="19"/>
      <c r="F286" s="42"/>
      <c r="G286" s="35" t="str">
        <f aca="false">IF(OR($B286="",$F286=""),"",$B286+$F286)</f>
        <v/>
      </c>
      <c r="H286" s="43"/>
      <c r="I286" s="43"/>
      <c r="J286" s="37" t="n">
        <f aca="false">IF($H286="",0,$H286-N($I286))</f>
        <v>0</v>
      </c>
      <c r="K286" s="38" t="str">
        <f aca="false">IF($H286="","",IF($J286&lt;0,"Lebih Bayar",IF($J286=0,"Lunas",IF(N($I286)&gt;0,"Bayar Sebagian","Belum Bayar"))))</f>
        <v/>
      </c>
      <c r="L286" s="39" t="n">
        <f aca="true">IF(OR($H286="",$G286=""),0,IF($J286&lt;=0,0,TODAY()-$G286))</f>
        <v>0</v>
      </c>
      <c r="M286" s="38" t="str">
        <f aca="false">IF($H286="","",IF($J286&lt;0,"Lebih Bayar",IF($J286=0,"Lunas",IF($L286&lt;=0,"Belum Jatuh Tempo",IF($L286&lt;=30,"1-30 hari",IF($L286&lt;=60,"31-60 hari",IF($L286&lt;=90,"61-90 hari","Lebih dari 90 hari")))))))</f>
        <v/>
      </c>
      <c r="N286" s="18" t="str">
        <f aca="false">IF($H286="","",IF($L286&lt;=0,"",$L286*1000000+ROW()))</f>
        <v/>
      </c>
    </row>
    <row r="287" customFormat="false" ht="15" hidden="false" customHeight="true" outlineLevel="0" collapsed="false">
      <c r="A287" s="18" t="str">
        <f aca="false">IF($C287="","",COUNTA($C$8:$C287))</f>
        <v/>
      </c>
      <c r="B287" s="44"/>
      <c r="C287" s="45"/>
      <c r="D287" s="46"/>
      <c r="E287" s="46"/>
      <c r="F287" s="47"/>
      <c r="G287" s="35" t="str">
        <f aca="false">IF(OR($B287="",$F287=""),"",$B287+$F287)</f>
        <v/>
      </c>
      <c r="H287" s="48"/>
      <c r="I287" s="48"/>
      <c r="J287" s="37" t="n">
        <f aca="false">IF($H287="",0,$H287-N($I287))</f>
        <v>0</v>
      </c>
      <c r="K287" s="38" t="str">
        <f aca="false">IF($H287="","",IF($J287&lt;0,"Lebih Bayar",IF($J287=0,"Lunas",IF(N($I287)&gt;0,"Bayar Sebagian","Belum Bayar"))))</f>
        <v/>
      </c>
      <c r="L287" s="39" t="n">
        <f aca="true">IF(OR($H287="",$G287=""),0,IF($J287&lt;=0,0,TODAY()-$G287))</f>
        <v>0</v>
      </c>
      <c r="M287" s="38" t="str">
        <f aca="false">IF($H287="","",IF($J287&lt;0,"Lebih Bayar",IF($J287=0,"Lunas",IF($L287&lt;=0,"Belum Jatuh Tempo",IF($L287&lt;=30,"1-30 hari",IF($L287&lt;=60,"31-60 hari",IF($L287&lt;=90,"61-90 hari","Lebih dari 90 hari")))))))</f>
        <v/>
      </c>
      <c r="N287" s="18" t="str">
        <f aca="false">IF($H287="","",IF($L287&lt;=0,"",$L287*1000000+ROW()))</f>
        <v/>
      </c>
    </row>
    <row r="288" customFormat="false" ht="15" hidden="false" customHeight="true" outlineLevel="0" collapsed="false">
      <c r="A288" s="18" t="str">
        <f aca="false">IF($C288="","",COUNTA($C$8:$C288))</f>
        <v/>
      </c>
      <c r="B288" s="40"/>
      <c r="C288" s="41"/>
      <c r="D288" s="19"/>
      <c r="E288" s="19"/>
      <c r="F288" s="42"/>
      <c r="G288" s="35" t="str">
        <f aca="false">IF(OR($B288="",$F288=""),"",$B288+$F288)</f>
        <v/>
      </c>
      <c r="H288" s="43"/>
      <c r="I288" s="43"/>
      <c r="J288" s="37" t="n">
        <f aca="false">IF($H288="",0,$H288-N($I288))</f>
        <v>0</v>
      </c>
      <c r="K288" s="38" t="str">
        <f aca="false">IF($H288="","",IF($J288&lt;0,"Lebih Bayar",IF($J288=0,"Lunas",IF(N($I288)&gt;0,"Bayar Sebagian","Belum Bayar"))))</f>
        <v/>
      </c>
      <c r="L288" s="39" t="n">
        <f aca="true">IF(OR($H288="",$G288=""),0,IF($J288&lt;=0,0,TODAY()-$G288))</f>
        <v>0</v>
      </c>
      <c r="M288" s="38" t="str">
        <f aca="false">IF($H288="","",IF($J288&lt;0,"Lebih Bayar",IF($J288=0,"Lunas",IF($L288&lt;=0,"Belum Jatuh Tempo",IF($L288&lt;=30,"1-30 hari",IF($L288&lt;=60,"31-60 hari",IF($L288&lt;=90,"61-90 hari","Lebih dari 90 hari")))))))</f>
        <v/>
      </c>
      <c r="N288" s="18" t="str">
        <f aca="false">IF($H288="","",IF($L288&lt;=0,"",$L288*1000000+ROW()))</f>
        <v/>
      </c>
    </row>
    <row r="289" customFormat="false" ht="15" hidden="false" customHeight="true" outlineLevel="0" collapsed="false">
      <c r="A289" s="18" t="str">
        <f aca="false">IF($C289="","",COUNTA($C$8:$C289))</f>
        <v/>
      </c>
      <c r="B289" s="44"/>
      <c r="C289" s="45"/>
      <c r="D289" s="46"/>
      <c r="E289" s="46"/>
      <c r="F289" s="47"/>
      <c r="G289" s="35" t="str">
        <f aca="false">IF(OR($B289="",$F289=""),"",$B289+$F289)</f>
        <v/>
      </c>
      <c r="H289" s="48"/>
      <c r="I289" s="48"/>
      <c r="J289" s="37" t="n">
        <f aca="false">IF($H289="",0,$H289-N($I289))</f>
        <v>0</v>
      </c>
      <c r="K289" s="38" t="str">
        <f aca="false">IF($H289="","",IF($J289&lt;0,"Lebih Bayar",IF($J289=0,"Lunas",IF(N($I289)&gt;0,"Bayar Sebagian","Belum Bayar"))))</f>
        <v/>
      </c>
      <c r="L289" s="39" t="n">
        <f aca="true">IF(OR($H289="",$G289=""),0,IF($J289&lt;=0,0,TODAY()-$G289))</f>
        <v>0</v>
      </c>
      <c r="M289" s="38" t="str">
        <f aca="false">IF($H289="","",IF($J289&lt;0,"Lebih Bayar",IF($J289=0,"Lunas",IF($L289&lt;=0,"Belum Jatuh Tempo",IF($L289&lt;=30,"1-30 hari",IF($L289&lt;=60,"31-60 hari",IF($L289&lt;=90,"61-90 hari","Lebih dari 90 hari")))))))</f>
        <v/>
      </c>
      <c r="N289" s="18" t="str">
        <f aca="false">IF($H289="","",IF($L289&lt;=0,"",$L289*1000000+ROW()))</f>
        <v/>
      </c>
    </row>
    <row r="290" customFormat="false" ht="15" hidden="false" customHeight="true" outlineLevel="0" collapsed="false">
      <c r="A290" s="18" t="str">
        <f aca="false">IF($C290="","",COUNTA($C$8:$C290))</f>
        <v/>
      </c>
      <c r="B290" s="40"/>
      <c r="C290" s="41"/>
      <c r="D290" s="19"/>
      <c r="E290" s="19"/>
      <c r="F290" s="42"/>
      <c r="G290" s="35" t="str">
        <f aca="false">IF(OR($B290="",$F290=""),"",$B290+$F290)</f>
        <v/>
      </c>
      <c r="H290" s="43"/>
      <c r="I290" s="43"/>
      <c r="J290" s="37" t="n">
        <f aca="false">IF($H290="",0,$H290-N($I290))</f>
        <v>0</v>
      </c>
      <c r="K290" s="38" t="str">
        <f aca="false">IF($H290="","",IF($J290&lt;0,"Lebih Bayar",IF($J290=0,"Lunas",IF(N($I290)&gt;0,"Bayar Sebagian","Belum Bayar"))))</f>
        <v/>
      </c>
      <c r="L290" s="39" t="n">
        <f aca="true">IF(OR($H290="",$G290=""),0,IF($J290&lt;=0,0,TODAY()-$G290))</f>
        <v>0</v>
      </c>
      <c r="M290" s="38" t="str">
        <f aca="false">IF($H290="","",IF($J290&lt;0,"Lebih Bayar",IF($J290=0,"Lunas",IF($L290&lt;=0,"Belum Jatuh Tempo",IF($L290&lt;=30,"1-30 hari",IF($L290&lt;=60,"31-60 hari",IF($L290&lt;=90,"61-90 hari","Lebih dari 90 hari")))))))</f>
        <v/>
      </c>
      <c r="N290" s="18" t="str">
        <f aca="false">IF($H290="","",IF($L290&lt;=0,"",$L290*1000000+ROW()))</f>
        <v/>
      </c>
    </row>
    <row r="291" customFormat="false" ht="15" hidden="false" customHeight="true" outlineLevel="0" collapsed="false">
      <c r="A291" s="18" t="str">
        <f aca="false">IF($C291="","",COUNTA($C$8:$C291))</f>
        <v/>
      </c>
      <c r="B291" s="44"/>
      <c r="C291" s="45"/>
      <c r="D291" s="46"/>
      <c r="E291" s="46"/>
      <c r="F291" s="47"/>
      <c r="G291" s="35" t="str">
        <f aca="false">IF(OR($B291="",$F291=""),"",$B291+$F291)</f>
        <v/>
      </c>
      <c r="H291" s="48"/>
      <c r="I291" s="48"/>
      <c r="J291" s="37" t="n">
        <f aca="false">IF($H291="",0,$H291-N($I291))</f>
        <v>0</v>
      </c>
      <c r="K291" s="38" t="str">
        <f aca="false">IF($H291="","",IF($J291&lt;0,"Lebih Bayar",IF($J291=0,"Lunas",IF(N($I291)&gt;0,"Bayar Sebagian","Belum Bayar"))))</f>
        <v/>
      </c>
      <c r="L291" s="39" t="n">
        <f aca="true">IF(OR($H291="",$G291=""),0,IF($J291&lt;=0,0,TODAY()-$G291))</f>
        <v>0</v>
      </c>
      <c r="M291" s="38" t="str">
        <f aca="false">IF($H291="","",IF($J291&lt;0,"Lebih Bayar",IF($J291=0,"Lunas",IF($L291&lt;=0,"Belum Jatuh Tempo",IF($L291&lt;=30,"1-30 hari",IF($L291&lt;=60,"31-60 hari",IF($L291&lt;=90,"61-90 hari","Lebih dari 90 hari")))))))</f>
        <v/>
      </c>
      <c r="N291" s="18" t="str">
        <f aca="false">IF($H291="","",IF($L291&lt;=0,"",$L291*1000000+ROW()))</f>
        <v/>
      </c>
    </row>
    <row r="292" customFormat="false" ht="15" hidden="false" customHeight="true" outlineLevel="0" collapsed="false">
      <c r="A292" s="18" t="str">
        <f aca="false">IF($C292="","",COUNTA($C$8:$C292))</f>
        <v/>
      </c>
      <c r="B292" s="40"/>
      <c r="C292" s="41"/>
      <c r="D292" s="19"/>
      <c r="E292" s="19"/>
      <c r="F292" s="42"/>
      <c r="G292" s="35" t="str">
        <f aca="false">IF(OR($B292="",$F292=""),"",$B292+$F292)</f>
        <v/>
      </c>
      <c r="H292" s="43"/>
      <c r="I292" s="43"/>
      <c r="J292" s="37" t="n">
        <f aca="false">IF($H292="",0,$H292-N($I292))</f>
        <v>0</v>
      </c>
      <c r="K292" s="38" t="str">
        <f aca="false">IF($H292="","",IF($J292&lt;0,"Lebih Bayar",IF($J292=0,"Lunas",IF(N($I292)&gt;0,"Bayar Sebagian","Belum Bayar"))))</f>
        <v/>
      </c>
      <c r="L292" s="39" t="n">
        <f aca="true">IF(OR($H292="",$G292=""),0,IF($J292&lt;=0,0,TODAY()-$G292))</f>
        <v>0</v>
      </c>
      <c r="M292" s="38" t="str">
        <f aca="false">IF($H292="","",IF($J292&lt;0,"Lebih Bayar",IF($J292=0,"Lunas",IF($L292&lt;=0,"Belum Jatuh Tempo",IF($L292&lt;=30,"1-30 hari",IF($L292&lt;=60,"31-60 hari",IF($L292&lt;=90,"61-90 hari","Lebih dari 90 hari")))))))</f>
        <v/>
      </c>
      <c r="N292" s="18" t="str">
        <f aca="false">IF($H292="","",IF($L292&lt;=0,"",$L292*1000000+ROW()))</f>
        <v/>
      </c>
    </row>
    <row r="293" customFormat="false" ht="15" hidden="false" customHeight="true" outlineLevel="0" collapsed="false">
      <c r="A293" s="18" t="str">
        <f aca="false">IF($C293="","",COUNTA($C$8:$C293))</f>
        <v/>
      </c>
      <c r="B293" s="44"/>
      <c r="C293" s="45"/>
      <c r="D293" s="46"/>
      <c r="E293" s="46"/>
      <c r="F293" s="47"/>
      <c r="G293" s="35" t="str">
        <f aca="false">IF(OR($B293="",$F293=""),"",$B293+$F293)</f>
        <v/>
      </c>
      <c r="H293" s="48"/>
      <c r="I293" s="48"/>
      <c r="J293" s="37" t="n">
        <f aca="false">IF($H293="",0,$H293-N($I293))</f>
        <v>0</v>
      </c>
      <c r="K293" s="38" t="str">
        <f aca="false">IF($H293="","",IF($J293&lt;0,"Lebih Bayar",IF($J293=0,"Lunas",IF(N($I293)&gt;0,"Bayar Sebagian","Belum Bayar"))))</f>
        <v/>
      </c>
      <c r="L293" s="39" t="n">
        <f aca="true">IF(OR($H293="",$G293=""),0,IF($J293&lt;=0,0,TODAY()-$G293))</f>
        <v>0</v>
      </c>
      <c r="M293" s="38" t="str">
        <f aca="false">IF($H293="","",IF($J293&lt;0,"Lebih Bayar",IF($J293=0,"Lunas",IF($L293&lt;=0,"Belum Jatuh Tempo",IF($L293&lt;=30,"1-30 hari",IF($L293&lt;=60,"31-60 hari",IF($L293&lt;=90,"61-90 hari","Lebih dari 90 hari")))))))</f>
        <v/>
      </c>
      <c r="N293" s="18" t="str">
        <f aca="false">IF($H293="","",IF($L293&lt;=0,"",$L293*1000000+ROW()))</f>
        <v/>
      </c>
    </row>
    <row r="294" customFormat="false" ht="15" hidden="false" customHeight="true" outlineLevel="0" collapsed="false">
      <c r="A294" s="18" t="str">
        <f aca="false">IF($C294="","",COUNTA($C$8:$C294))</f>
        <v/>
      </c>
      <c r="B294" s="40"/>
      <c r="C294" s="41"/>
      <c r="D294" s="19"/>
      <c r="E294" s="19"/>
      <c r="F294" s="42"/>
      <c r="G294" s="35" t="str">
        <f aca="false">IF(OR($B294="",$F294=""),"",$B294+$F294)</f>
        <v/>
      </c>
      <c r="H294" s="43"/>
      <c r="I294" s="43"/>
      <c r="J294" s="37" t="n">
        <f aca="false">IF($H294="",0,$H294-N($I294))</f>
        <v>0</v>
      </c>
      <c r="K294" s="38" t="str">
        <f aca="false">IF($H294="","",IF($J294&lt;0,"Lebih Bayar",IF($J294=0,"Lunas",IF(N($I294)&gt;0,"Bayar Sebagian","Belum Bayar"))))</f>
        <v/>
      </c>
      <c r="L294" s="39" t="n">
        <f aca="true">IF(OR($H294="",$G294=""),0,IF($J294&lt;=0,0,TODAY()-$G294))</f>
        <v>0</v>
      </c>
      <c r="M294" s="38" t="str">
        <f aca="false">IF($H294="","",IF($J294&lt;0,"Lebih Bayar",IF($J294=0,"Lunas",IF($L294&lt;=0,"Belum Jatuh Tempo",IF($L294&lt;=30,"1-30 hari",IF($L294&lt;=60,"31-60 hari",IF($L294&lt;=90,"61-90 hari","Lebih dari 90 hari")))))))</f>
        <v/>
      </c>
      <c r="N294" s="18" t="str">
        <f aca="false">IF($H294="","",IF($L294&lt;=0,"",$L294*1000000+ROW()))</f>
        <v/>
      </c>
    </row>
    <row r="295" customFormat="false" ht="15" hidden="false" customHeight="true" outlineLevel="0" collapsed="false">
      <c r="A295" s="18" t="str">
        <f aca="false">IF($C295="","",COUNTA($C$8:$C295))</f>
        <v/>
      </c>
      <c r="B295" s="44"/>
      <c r="C295" s="45"/>
      <c r="D295" s="46"/>
      <c r="E295" s="46"/>
      <c r="F295" s="47"/>
      <c r="G295" s="35" t="str">
        <f aca="false">IF(OR($B295="",$F295=""),"",$B295+$F295)</f>
        <v/>
      </c>
      <c r="H295" s="48"/>
      <c r="I295" s="48"/>
      <c r="J295" s="37" t="n">
        <f aca="false">IF($H295="",0,$H295-N($I295))</f>
        <v>0</v>
      </c>
      <c r="K295" s="38" t="str">
        <f aca="false">IF($H295="","",IF($J295&lt;0,"Lebih Bayar",IF($J295=0,"Lunas",IF(N($I295)&gt;0,"Bayar Sebagian","Belum Bayar"))))</f>
        <v/>
      </c>
      <c r="L295" s="39" t="n">
        <f aca="true">IF(OR($H295="",$G295=""),0,IF($J295&lt;=0,0,TODAY()-$G295))</f>
        <v>0</v>
      </c>
      <c r="M295" s="38" t="str">
        <f aca="false">IF($H295="","",IF($J295&lt;0,"Lebih Bayar",IF($J295=0,"Lunas",IF($L295&lt;=0,"Belum Jatuh Tempo",IF($L295&lt;=30,"1-30 hari",IF($L295&lt;=60,"31-60 hari",IF($L295&lt;=90,"61-90 hari","Lebih dari 90 hari")))))))</f>
        <v/>
      </c>
      <c r="N295" s="18" t="str">
        <f aca="false">IF($H295="","",IF($L295&lt;=0,"",$L295*1000000+ROW()))</f>
        <v/>
      </c>
    </row>
    <row r="296" customFormat="false" ht="15" hidden="false" customHeight="true" outlineLevel="0" collapsed="false">
      <c r="A296" s="18" t="str">
        <f aca="false">IF($C296="","",COUNTA($C$8:$C296))</f>
        <v/>
      </c>
      <c r="B296" s="40"/>
      <c r="C296" s="41"/>
      <c r="D296" s="19"/>
      <c r="E296" s="19"/>
      <c r="F296" s="42"/>
      <c r="G296" s="35" t="str">
        <f aca="false">IF(OR($B296="",$F296=""),"",$B296+$F296)</f>
        <v/>
      </c>
      <c r="H296" s="43"/>
      <c r="I296" s="43"/>
      <c r="J296" s="37" t="n">
        <f aca="false">IF($H296="",0,$H296-N($I296))</f>
        <v>0</v>
      </c>
      <c r="K296" s="38" t="str">
        <f aca="false">IF($H296="","",IF($J296&lt;0,"Lebih Bayar",IF($J296=0,"Lunas",IF(N($I296)&gt;0,"Bayar Sebagian","Belum Bayar"))))</f>
        <v/>
      </c>
      <c r="L296" s="39" t="n">
        <f aca="true">IF(OR($H296="",$G296=""),0,IF($J296&lt;=0,0,TODAY()-$G296))</f>
        <v>0</v>
      </c>
      <c r="M296" s="38" t="str">
        <f aca="false">IF($H296="","",IF($J296&lt;0,"Lebih Bayar",IF($J296=0,"Lunas",IF($L296&lt;=0,"Belum Jatuh Tempo",IF($L296&lt;=30,"1-30 hari",IF($L296&lt;=60,"31-60 hari",IF($L296&lt;=90,"61-90 hari","Lebih dari 90 hari")))))))</f>
        <v/>
      </c>
      <c r="N296" s="18" t="str">
        <f aca="false">IF($H296="","",IF($L296&lt;=0,"",$L296*1000000+ROW()))</f>
        <v/>
      </c>
    </row>
    <row r="297" customFormat="false" ht="15" hidden="false" customHeight="true" outlineLevel="0" collapsed="false">
      <c r="A297" s="18" t="str">
        <f aca="false">IF($C297="","",COUNTA($C$8:$C297))</f>
        <v/>
      </c>
      <c r="B297" s="44"/>
      <c r="C297" s="45"/>
      <c r="D297" s="46"/>
      <c r="E297" s="46"/>
      <c r="F297" s="47"/>
      <c r="G297" s="35" t="str">
        <f aca="false">IF(OR($B297="",$F297=""),"",$B297+$F297)</f>
        <v/>
      </c>
      <c r="H297" s="48"/>
      <c r="I297" s="48"/>
      <c r="J297" s="37" t="n">
        <f aca="false">IF($H297="",0,$H297-N($I297))</f>
        <v>0</v>
      </c>
      <c r="K297" s="38" t="str">
        <f aca="false">IF($H297="","",IF($J297&lt;0,"Lebih Bayar",IF($J297=0,"Lunas",IF(N($I297)&gt;0,"Bayar Sebagian","Belum Bayar"))))</f>
        <v/>
      </c>
      <c r="L297" s="39" t="n">
        <f aca="true">IF(OR($H297="",$G297=""),0,IF($J297&lt;=0,0,TODAY()-$G297))</f>
        <v>0</v>
      </c>
      <c r="M297" s="38" t="str">
        <f aca="false">IF($H297="","",IF($J297&lt;0,"Lebih Bayar",IF($J297=0,"Lunas",IF($L297&lt;=0,"Belum Jatuh Tempo",IF($L297&lt;=30,"1-30 hari",IF($L297&lt;=60,"31-60 hari",IF($L297&lt;=90,"61-90 hari","Lebih dari 90 hari")))))))</f>
        <v/>
      </c>
      <c r="N297" s="18" t="str">
        <f aca="false">IF($H297="","",IF($L297&lt;=0,"",$L297*1000000+ROW()))</f>
        <v/>
      </c>
    </row>
    <row r="298" customFormat="false" ht="15" hidden="false" customHeight="true" outlineLevel="0" collapsed="false">
      <c r="A298" s="18" t="str">
        <f aca="false">IF($C298="","",COUNTA($C$8:$C298))</f>
        <v/>
      </c>
      <c r="B298" s="40"/>
      <c r="C298" s="41"/>
      <c r="D298" s="19"/>
      <c r="E298" s="19"/>
      <c r="F298" s="42"/>
      <c r="G298" s="35" t="str">
        <f aca="false">IF(OR($B298="",$F298=""),"",$B298+$F298)</f>
        <v/>
      </c>
      <c r="H298" s="43"/>
      <c r="I298" s="43"/>
      <c r="J298" s="37" t="n">
        <f aca="false">IF($H298="",0,$H298-N($I298))</f>
        <v>0</v>
      </c>
      <c r="K298" s="38" t="str">
        <f aca="false">IF($H298="","",IF($J298&lt;0,"Lebih Bayar",IF($J298=0,"Lunas",IF(N($I298)&gt;0,"Bayar Sebagian","Belum Bayar"))))</f>
        <v/>
      </c>
      <c r="L298" s="39" t="n">
        <f aca="true">IF(OR($H298="",$G298=""),0,IF($J298&lt;=0,0,TODAY()-$G298))</f>
        <v>0</v>
      </c>
      <c r="M298" s="38" t="str">
        <f aca="false">IF($H298="","",IF($J298&lt;0,"Lebih Bayar",IF($J298=0,"Lunas",IF($L298&lt;=0,"Belum Jatuh Tempo",IF($L298&lt;=30,"1-30 hari",IF($L298&lt;=60,"31-60 hari",IF($L298&lt;=90,"61-90 hari","Lebih dari 90 hari")))))))</f>
        <v/>
      </c>
      <c r="N298" s="18" t="str">
        <f aca="false">IF($H298="","",IF($L298&lt;=0,"",$L298*1000000+ROW()))</f>
        <v/>
      </c>
    </row>
    <row r="299" customFormat="false" ht="15" hidden="false" customHeight="true" outlineLevel="0" collapsed="false">
      <c r="A299" s="18" t="str">
        <f aca="false">IF($C299="","",COUNTA($C$8:$C299))</f>
        <v/>
      </c>
      <c r="B299" s="44"/>
      <c r="C299" s="45"/>
      <c r="D299" s="46"/>
      <c r="E299" s="46"/>
      <c r="F299" s="47"/>
      <c r="G299" s="35" t="str">
        <f aca="false">IF(OR($B299="",$F299=""),"",$B299+$F299)</f>
        <v/>
      </c>
      <c r="H299" s="48"/>
      <c r="I299" s="48"/>
      <c r="J299" s="37" t="n">
        <f aca="false">IF($H299="",0,$H299-N($I299))</f>
        <v>0</v>
      </c>
      <c r="K299" s="38" t="str">
        <f aca="false">IF($H299="","",IF($J299&lt;0,"Lebih Bayar",IF($J299=0,"Lunas",IF(N($I299)&gt;0,"Bayar Sebagian","Belum Bayar"))))</f>
        <v/>
      </c>
      <c r="L299" s="39" t="n">
        <f aca="true">IF(OR($H299="",$G299=""),0,IF($J299&lt;=0,0,TODAY()-$G299))</f>
        <v>0</v>
      </c>
      <c r="M299" s="38" t="str">
        <f aca="false">IF($H299="","",IF($J299&lt;0,"Lebih Bayar",IF($J299=0,"Lunas",IF($L299&lt;=0,"Belum Jatuh Tempo",IF($L299&lt;=30,"1-30 hari",IF($L299&lt;=60,"31-60 hari",IF($L299&lt;=90,"61-90 hari","Lebih dari 90 hari")))))))</f>
        <v/>
      </c>
      <c r="N299" s="18" t="str">
        <f aca="false">IF($H299="","",IF($L299&lt;=0,"",$L299*1000000+ROW()))</f>
        <v/>
      </c>
    </row>
    <row r="300" customFormat="false" ht="15" hidden="false" customHeight="true" outlineLevel="0" collapsed="false">
      <c r="A300" s="18" t="str">
        <f aca="false">IF($C300="","",COUNTA($C$8:$C300))</f>
        <v/>
      </c>
      <c r="B300" s="40"/>
      <c r="C300" s="41"/>
      <c r="D300" s="19"/>
      <c r="E300" s="19"/>
      <c r="F300" s="42"/>
      <c r="G300" s="35" t="str">
        <f aca="false">IF(OR($B300="",$F300=""),"",$B300+$F300)</f>
        <v/>
      </c>
      <c r="H300" s="43"/>
      <c r="I300" s="43"/>
      <c r="J300" s="37" t="n">
        <f aca="false">IF($H300="",0,$H300-N($I300))</f>
        <v>0</v>
      </c>
      <c r="K300" s="38" t="str">
        <f aca="false">IF($H300="","",IF($J300&lt;0,"Lebih Bayar",IF($J300=0,"Lunas",IF(N($I300)&gt;0,"Bayar Sebagian","Belum Bayar"))))</f>
        <v/>
      </c>
      <c r="L300" s="39" t="n">
        <f aca="true">IF(OR($H300="",$G300=""),0,IF($J300&lt;=0,0,TODAY()-$G300))</f>
        <v>0</v>
      </c>
      <c r="M300" s="38" t="str">
        <f aca="false">IF($H300="","",IF($J300&lt;0,"Lebih Bayar",IF($J300=0,"Lunas",IF($L300&lt;=0,"Belum Jatuh Tempo",IF($L300&lt;=30,"1-30 hari",IF($L300&lt;=60,"31-60 hari",IF($L300&lt;=90,"61-90 hari","Lebih dari 90 hari")))))))</f>
        <v/>
      </c>
      <c r="N300" s="18" t="str">
        <f aca="false">IF($H300="","",IF($L300&lt;=0,"",$L300*1000000+ROW()))</f>
        <v/>
      </c>
    </row>
    <row r="301" customFormat="false" ht="15" hidden="false" customHeight="true" outlineLevel="0" collapsed="false">
      <c r="A301" s="18" t="str">
        <f aca="false">IF($C301="","",COUNTA($C$8:$C301))</f>
        <v/>
      </c>
      <c r="B301" s="44"/>
      <c r="C301" s="45"/>
      <c r="D301" s="46"/>
      <c r="E301" s="46"/>
      <c r="F301" s="47"/>
      <c r="G301" s="35" t="str">
        <f aca="false">IF(OR($B301="",$F301=""),"",$B301+$F301)</f>
        <v/>
      </c>
      <c r="H301" s="48"/>
      <c r="I301" s="48"/>
      <c r="J301" s="37" t="n">
        <f aca="false">IF($H301="",0,$H301-N($I301))</f>
        <v>0</v>
      </c>
      <c r="K301" s="38" t="str">
        <f aca="false">IF($H301="","",IF($J301&lt;0,"Lebih Bayar",IF($J301=0,"Lunas",IF(N($I301)&gt;0,"Bayar Sebagian","Belum Bayar"))))</f>
        <v/>
      </c>
      <c r="L301" s="39" t="n">
        <f aca="true">IF(OR($H301="",$G301=""),0,IF($J301&lt;=0,0,TODAY()-$G301))</f>
        <v>0</v>
      </c>
      <c r="M301" s="38" t="str">
        <f aca="false">IF($H301="","",IF($J301&lt;0,"Lebih Bayar",IF($J301=0,"Lunas",IF($L301&lt;=0,"Belum Jatuh Tempo",IF($L301&lt;=30,"1-30 hari",IF($L301&lt;=60,"31-60 hari",IF($L301&lt;=90,"61-90 hari","Lebih dari 90 hari")))))))</f>
        <v/>
      </c>
      <c r="N301" s="18" t="str">
        <f aca="false">IF($H301="","",IF($L301&lt;=0,"",$L301*1000000+ROW()))</f>
        <v/>
      </c>
    </row>
    <row r="302" customFormat="false" ht="15" hidden="false" customHeight="true" outlineLevel="0" collapsed="false">
      <c r="A302" s="18" t="str">
        <f aca="false">IF($C302="","",COUNTA($C$8:$C302))</f>
        <v/>
      </c>
      <c r="B302" s="40"/>
      <c r="C302" s="41"/>
      <c r="D302" s="19"/>
      <c r="E302" s="19"/>
      <c r="F302" s="42"/>
      <c r="G302" s="35" t="str">
        <f aca="false">IF(OR($B302="",$F302=""),"",$B302+$F302)</f>
        <v/>
      </c>
      <c r="H302" s="43"/>
      <c r="I302" s="43"/>
      <c r="J302" s="37" t="n">
        <f aca="false">IF($H302="",0,$H302-N($I302))</f>
        <v>0</v>
      </c>
      <c r="K302" s="38" t="str">
        <f aca="false">IF($H302="","",IF($J302&lt;0,"Lebih Bayar",IF($J302=0,"Lunas",IF(N($I302)&gt;0,"Bayar Sebagian","Belum Bayar"))))</f>
        <v/>
      </c>
      <c r="L302" s="39" t="n">
        <f aca="true">IF(OR($H302="",$G302=""),0,IF($J302&lt;=0,0,TODAY()-$G302))</f>
        <v>0</v>
      </c>
      <c r="M302" s="38" t="str">
        <f aca="false">IF($H302="","",IF($J302&lt;0,"Lebih Bayar",IF($J302=0,"Lunas",IF($L302&lt;=0,"Belum Jatuh Tempo",IF($L302&lt;=30,"1-30 hari",IF($L302&lt;=60,"31-60 hari",IF($L302&lt;=90,"61-90 hari","Lebih dari 90 hari")))))))</f>
        <v/>
      </c>
      <c r="N302" s="18" t="str">
        <f aca="false">IF($H302="","",IF($L302&lt;=0,"",$L302*1000000+ROW()))</f>
        <v/>
      </c>
    </row>
    <row r="303" customFormat="false" ht="15" hidden="false" customHeight="true" outlineLevel="0" collapsed="false">
      <c r="A303" s="18" t="str">
        <f aca="false">IF($C303="","",COUNTA($C$8:$C303))</f>
        <v/>
      </c>
      <c r="B303" s="44"/>
      <c r="C303" s="45"/>
      <c r="D303" s="46"/>
      <c r="E303" s="46"/>
      <c r="F303" s="47"/>
      <c r="G303" s="35" t="str">
        <f aca="false">IF(OR($B303="",$F303=""),"",$B303+$F303)</f>
        <v/>
      </c>
      <c r="H303" s="48"/>
      <c r="I303" s="48"/>
      <c r="J303" s="37" t="n">
        <f aca="false">IF($H303="",0,$H303-N($I303))</f>
        <v>0</v>
      </c>
      <c r="K303" s="38" t="str">
        <f aca="false">IF($H303="","",IF($J303&lt;0,"Lebih Bayar",IF($J303=0,"Lunas",IF(N($I303)&gt;0,"Bayar Sebagian","Belum Bayar"))))</f>
        <v/>
      </c>
      <c r="L303" s="39" t="n">
        <f aca="true">IF(OR($H303="",$G303=""),0,IF($J303&lt;=0,0,TODAY()-$G303))</f>
        <v>0</v>
      </c>
      <c r="M303" s="38" t="str">
        <f aca="false">IF($H303="","",IF($J303&lt;0,"Lebih Bayar",IF($J303=0,"Lunas",IF($L303&lt;=0,"Belum Jatuh Tempo",IF($L303&lt;=30,"1-30 hari",IF($L303&lt;=60,"31-60 hari",IF($L303&lt;=90,"61-90 hari","Lebih dari 90 hari")))))))</f>
        <v/>
      </c>
      <c r="N303" s="18" t="str">
        <f aca="false">IF($H303="","",IF($L303&lt;=0,"",$L303*1000000+ROW()))</f>
        <v/>
      </c>
    </row>
    <row r="304" customFormat="false" ht="15" hidden="false" customHeight="true" outlineLevel="0" collapsed="false">
      <c r="A304" s="18" t="str">
        <f aca="false">IF($C304="","",COUNTA($C$8:$C304))</f>
        <v/>
      </c>
      <c r="B304" s="40"/>
      <c r="C304" s="41"/>
      <c r="D304" s="19"/>
      <c r="E304" s="19"/>
      <c r="F304" s="42"/>
      <c r="G304" s="35" t="str">
        <f aca="false">IF(OR($B304="",$F304=""),"",$B304+$F304)</f>
        <v/>
      </c>
      <c r="H304" s="43"/>
      <c r="I304" s="43"/>
      <c r="J304" s="37" t="n">
        <f aca="false">IF($H304="",0,$H304-N($I304))</f>
        <v>0</v>
      </c>
      <c r="K304" s="38" t="str">
        <f aca="false">IF($H304="","",IF($J304&lt;0,"Lebih Bayar",IF($J304=0,"Lunas",IF(N($I304)&gt;0,"Bayar Sebagian","Belum Bayar"))))</f>
        <v/>
      </c>
      <c r="L304" s="39" t="n">
        <f aca="true">IF(OR($H304="",$G304=""),0,IF($J304&lt;=0,0,TODAY()-$G304))</f>
        <v>0</v>
      </c>
      <c r="M304" s="38" t="str">
        <f aca="false">IF($H304="","",IF($J304&lt;0,"Lebih Bayar",IF($J304=0,"Lunas",IF($L304&lt;=0,"Belum Jatuh Tempo",IF($L304&lt;=30,"1-30 hari",IF($L304&lt;=60,"31-60 hari",IF($L304&lt;=90,"61-90 hari","Lebih dari 90 hari")))))))</f>
        <v/>
      </c>
      <c r="N304" s="18" t="str">
        <f aca="false">IF($H304="","",IF($L304&lt;=0,"",$L304*1000000+ROW()))</f>
        <v/>
      </c>
    </row>
    <row r="305" customFormat="false" ht="15" hidden="false" customHeight="true" outlineLevel="0" collapsed="false">
      <c r="A305" s="18" t="str">
        <f aca="false">IF($C305="","",COUNTA($C$8:$C305))</f>
        <v/>
      </c>
      <c r="B305" s="44"/>
      <c r="C305" s="45"/>
      <c r="D305" s="46"/>
      <c r="E305" s="46"/>
      <c r="F305" s="47"/>
      <c r="G305" s="35" t="str">
        <f aca="false">IF(OR($B305="",$F305=""),"",$B305+$F305)</f>
        <v/>
      </c>
      <c r="H305" s="48"/>
      <c r="I305" s="48"/>
      <c r="J305" s="37" t="n">
        <f aca="false">IF($H305="",0,$H305-N($I305))</f>
        <v>0</v>
      </c>
      <c r="K305" s="38" t="str">
        <f aca="false">IF($H305="","",IF($J305&lt;0,"Lebih Bayar",IF($J305=0,"Lunas",IF(N($I305)&gt;0,"Bayar Sebagian","Belum Bayar"))))</f>
        <v/>
      </c>
      <c r="L305" s="39" t="n">
        <f aca="true">IF(OR($H305="",$G305=""),0,IF($J305&lt;=0,0,TODAY()-$G305))</f>
        <v>0</v>
      </c>
      <c r="M305" s="38" t="str">
        <f aca="false">IF($H305="","",IF($J305&lt;0,"Lebih Bayar",IF($J305=0,"Lunas",IF($L305&lt;=0,"Belum Jatuh Tempo",IF($L305&lt;=30,"1-30 hari",IF($L305&lt;=60,"31-60 hari",IF($L305&lt;=90,"61-90 hari","Lebih dari 90 hari")))))))</f>
        <v/>
      </c>
      <c r="N305" s="18" t="str">
        <f aca="false">IF($H305="","",IF($L305&lt;=0,"",$L305*1000000+ROW()))</f>
        <v/>
      </c>
    </row>
    <row r="306" customFormat="false" ht="15" hidden="false" customHeight="true" outlineLevel="0" collapsed="false">
      <c r="A306" s="18" t="str">
        <f aca="false">IF($C306="","",COUNTA($C$8:$C306))</f>
        <v/>
      </c>
      <c r="B306" s="40"/>
      <c r="C306" s="41"/>
      <c r="D306" s="19"/>
      <c r="E306" s="19"/>
      <c r="F306" s="42"/>
      <c r="G306" s="35" t="str">
        <f aca="false">IF(OR($B306="",$F306=""),"",$B306+$F306)</f>
        <v/>
      </c>
      <c r="H306" s="43"/>
      <c r="I306" s="43"/>
      <c r="J306" s="37" t="n">
        <f aca="false">IF($H306="",0,$H306-N($I306))</f>
        <v>0</v>
      </c>
      <c r="K306" s="38" t="str">
        <f aca="false">IF($H306="","",IF($J306&lt;0,"Lebih Bayar",IF($J306=0,"Lunas",IF(N($I306)&gt;0,"Bayar Sebagian","Belum Bayar"))))</f>
        <v/>
      </c>
      <c r="L306" s="39" t="n">
        <f aca="true">IF(OR($H306="",$G306=""),0,IF($J306&lt;=0,0,TODAY()-$G306))</f>
        <v>0</v>
      </c>
      <c r="M306" s="38" t="str">
        <f aca="false">IF($H306="","",IF($J306&lt;0,"Lebih Bayar",IF($J306=0,"Lunas",IF($L306&lt;=0,"Belum Jatuh Tempo",IF($L306&lt;=30,"1-30 hari",IF($L306&lt;=60,"31-60 hari",IF($L306&lt;=90,"61-90 hari","Lebih dari 90 hari")))))))</f>
        <v/>
      </c>
      <c r="N306" s="18" t="str">
        <f aca="false">IF($H306="","",IF($L306&lt;=0,"",$L306*1000000+ROW()))</f>
        <v/>
      </c>
    </row>
    <row r="307" customFormat="false" ht="15" hidden="false" customHeight="true" outlineLevel="0" collapsed="false">
      <c r="A307" s="18" t="str">
        <f aca="false">IF($C307="","",COUNTA($C$8:$C307))</f>
        <v/>
      </c>
      <c r="B307" s="44"/>
      <c r="C307" s="45"/>
      <c r="D307" s="46"/>
      <c r="E307" s="46"/>
      <c r="F307" s="47"/>
      <c r="G307" s="35" t="str">
        <f aca="false">IF(OR($B307="",$F307=""),"",$B307+$F307)</f>
        <v/>
      </c>
      <c r="H307" s="48"/>
      <c r="I307" s="48"/>
      <c r="J307" s="37" t="n">
        <f aca="false">IF($H307="",0,$H307-N($I307))</f>
        <v>0</v>
      </c>
      <c r="K307" s="38" t="str">
        <f aca="false">IF($H307="","",IF($J307&lt;0,"Lebih Bayar",IF($J307=0,"Lunas",IF(N($I307)&gt;0,"Bayar Sebagian","Belum Bayar"))))</f>
        <v/>
      </c>
      <c r="L307" s="39" t="n">
        <f aca="true">IF(OR($H307="",$G307=""),0,IF($J307&lt;=0,0,TODAY()-$G307))</f>
        <v>0</v>
      </c>
      <c r="M307" s="38" t="str">
        <f aca="false">IF($H307="","",IF($J307&lt;0,"Lebih Bayar",IF($J307=0,"Lunas",IF($L307&lt;=0,"Belum Jatuh Tempo",IF($L307&lt;=30,"1-30 hari",IF($L307&lt;=60,"31-60 hari",IF($L307&lt;=90,"61-90 hari","Lebih dari 90 hari")))))))</f>
        <v/>
      </c>
      <c r="N307" s="18" t="str">
        <f aca="false">IF($H307="","",IF($L307&lt;=0,"",$L307*1000000+ROW()))</f>
        <v/>
      </c>
    </row>
    <row r="308" customFormat="false" ht="21.75" hidden="false" customHeight="true" outlineLevel="0" collapsed="false">
      <c r="A308" s="49" t="s">
        <v>102</v>
      </c>
      <c r="B308" s="49"/>
      <c r="C308" s="49"/>
      <c r="D308" s="49"/>
      <c r="E308" s="49"/>
      <c r="F308" s="49"/>
      <c r="G308" s="49"/>
      <c r="H308" s="50" t="n">
        <f aca="false">SUM($H$8:$H$307)</f>
        <v>49380000</v>
      </c>
      <c r="I308" s="50" t="n">
        <f aca="false">SUM($I$8:$I$307)</f>
        <v>3620000</v>
      </c>
      <c r="J308" s="50" t="n">
        <f aca="false">SUM($J$8:$J$307)</f>
        <v>45760000</v>
      </c>
      <c r="K308" s="51"/>
      <c r="L308" s="51"/>
      <c r="M308" s="51"/>
      <c r="N308" s="51"/>
    </row>
  </sheetData>
  <autoFilter ref="A7:N307"/>
  <mergeCells count="5">
    <mergeCell ref="A1:N1"/>
    <mergeCell ref="A2:N2"/>
    <mergeCell ref="A4:C4"/>
    <mergeCell ref="A5:D5"/>
    <mergeCell ref="A308:G308"/>
  </mergeCells>
  <conditionalFormatting sqref="M8:M307">
    <cfRule type="cellIs" priority="2" operator="equal" aboveAverage="0" equalAverage="0" bottom="0" percent="0" rank="0" text="" dxfId="16">
      <formula>"Lunas"</formula>
    </cfRule>
    <cfRule type="cellIs" priority="3" operator="equal" aboveAverage="0" equalAverage="0" bottom="0" percent="0" rank="0" text="" dxfId="17">
      <formula>"Belum Jatuh Tempo"</formula>
    </cfRule>
    <cfRule type="cellIs" priority="4" operator="equal" aboveAverage="0" equalAverage="0" bottom="0" percent="0" rank="0" text="" dxfId="18">
      <formula>"1-30 hari"</formula>
    </cfRule>
    <cfRule type="cellIs" priority="5" operator="equal" aboveAverage="0" equalAverage="0" bottom="0" percent="0" rank="0" text="" dxfId="19">
      <formula>"31-60 hari"</formula>
    </cfRule>
    <cfRule type="cellIs" priority="6" operator="equal" aboveAverage="0" equalAverage="0" bottom="0" percent="0" rank="0" text="" dxfId="20">
      <formula>"61-90 hari"</formula>
    </cfRule>
    <cfRule type="cellIs" priority="7" operator="equal" aboveAverage="0" equalAverage="0" bottom="0" percent="0" rank="0" text="" dxfId="21">
      <formula>"Lebih dari 90 hari"</formula>
    </cfRule>
    <cfRule type="cellIs" priority="8" operator="equal" aboveAverage="0" equalAverage="0" bottom="0" percent="0" rank="0" text="" dxfId="22">
      <formula>"Lebih Bayar"</formula>
    </cfRule>
  </conditionalFormatting>
  <conditionalFormatting sqref="K8:K307">
    <cfRule type="cellIs" priority="9" operator="equal" aboveAverage="0" equalAverage="0" bottom="0" percent="0" rank="0" text="" dxfId="23">
      <formula>"Lunas"</formula>
    </cfRule>
    <cfRule type="cellIs" priority="10" operator="equal" aboveAverage="0" equalAverage="0" bottom="0" percent="0" rank="0" text="" dxfId="24">
      <formula>"Belum Bayar"</formula>
    </cfRule>
  </conditionalFormatting>
  <dataValidations count="2">
    <dataValidation allowBlank="true" error="Nama ini belum ada di Master Pelanggan. Tambahkan dulu di sheet tersebut." errorStyle="stop" errorTitle="Pelanggan belum terdaftar" operator="between" prompt="Pilih dari daftar, atau tambahkan pelanggan baru di sheet Master Pelanggan." promptTitle="Pelanggan" showDropDown="false" showErrorMessage="false" showInputMessage="false" sqref="D8:D307" type="list">
      <formula1>'Master Pelanggan'!$B$6:$B$105</formula1>
      <formula2>0</formula2>
    </dataValidation>
    <dataValidation allowBlank="true" error="Nilai tagihan tidak boleh negatif." errorStyle="stop" errorTitle="Nilai tidak valid" operator="greaterThanOrEqual" showDropDown="false" showErrorMessage="false" showInputMessage="false" sqref="H8:I307" type="decimal">
      <formula1>0</formula1>
      <formula2>0</formula2>
    </dataValidation>
  </dataValidations>
  <printOptions headings="false" gridLines="false" gridLinesSet="true" horizontalCentered="true" verticalCentered="false"/>
  <pageMargins left="0.4" right="0.4" top="0.5" bottom="0.5" header="0.511811023622047" footer="0.511805555555556"/>
  <pageSetup paperSize="9" scale="100" fitToWidth="1" fitToHeight="0" pageOrder="downThenOver" orientation="landscape" blackAndWhite="false" draft="false" cellComments="none" horizontalDpi="300" verticalDpi="300" copies="1"/>
  <headerFooter differentFirst="false" differentOddEven="false">
    <oddHeader/>
    <oddFooter>&amp;L&amp;8 Kartu Piutang Umur Tagihan — Vita | Accurate Online&amp;R&amp;8 Halaman &amp;P dari &amp;N</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I11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1" topLeftCell="A1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30"/>
    <col collapsed="false" customWidth="true" hidden="false" outlineLevel="0" max="3" min="3" style="1" width="17"/>
    <col collapsed="false" customWidth="true" hidden="false" outlineLevel="0" max="7" min="4" style="1" width="15"/>
    <col collapsed="false" customWidth="true" hidden="false" outlineLevel="0" max="8" min="8" style="1" width="17"/>
    <col collapsed="false" customWidth="true" hidden="false" outlineLevel="0" max="9" min="9" style="1" width="12"/>
  </cols>
  <sheetData>
    <row r="1" customFormat="false" ht="30" hidden="false" customHeight="true" outlineLevel="0" collapsed="false">
      <c r="A1" s="2" t="s">
        <v>103</v>
      </c>
      <c r="B1" s="2"/>
      <c r="C1" s="2"/>
      <c r="D1" s="2"/>
      <c r="E1" s="2"/>
      <c r="F1" s="2"/>
      <c r="G1" s="2"/>
      <c r="H1" s="2"/>
      <c r="I1" s="2"/>
    </row>
    <row r="2" customFormat="false" ht="19.5" hidden="false" customHeight="true" outlineLevel="0" collapsed="false">
      <c r="A2" s="3" t="s">
        <v>104</v>
      </c>
      <c r="B2" s="3"/>
      <c r="C2" s="3"/>
      <c r="D2" s="3"/>
      <c r="E2" s="3"/>
      <c r="F2" s="3"/>
      <c r="G2" s="3"/>
      <c r="H2" s="3"/>
      <c r="I2" s="3"/>
    </row>
    <row r="4" customFormat="false" ht="19.5" hidden="false" customHeight="true" outlineLevel="0" collapsed="false">
      <c r="B4" s="52" t="s">
        <v>105</v>
      </c>
      <c r="C4" s="52"/>
      <c r="D4" s="52"/>
      <c r="E4" s="52"/>
      <c r="F4" s="52"/>
      <c r="G4" s="52"/>
      <c r="H4" s="52"/>
      <c r="I4" s="52"/>
    </row>
    <row r="5" customFormat="false" ht="25.5" hidden="false" customHeight="true" outlineLevel="0" collapsed="false">
      <c r="B5" s="53" t="s">
        <v>106</v>
      </c>
      <c r="C5" s="54" t="s">
        <v>107</v>
      </c>
      <c r="D5" s="55" t="s">
        <v>108</v>
      </c>
      <c r="E5" s="56" t="s">
        <v>109</v>
      </c>
      <c r="F5" s="57" t="s">
        <v>110</v>
      </c>
      <c r="G5" s="58" t="s">
        <v>111</v>
      </c>
    </row>
    <row r="6" customFormat="false" ht="24" hidden="false" customHeight="true" outlineLevel="0" collapsed="false">
      <c r="B6" s="59" t="n">
        <f aca="false">SUMIFS('Data Piutang'!$J$8:$J$307,'Data Piutang'!$M$8:$M$307,"Belum Jatuh Tempo")</f>
        <v>38020000</v>
      </c>
      <c r="C6" s="60" t="n">
        <f aca="false">SUMIFS('Data Piutang'!$J$8:$J$307,'Data Piutang'!$M$8:$M$307,"1-30 hari")</f>
        <v>0</v>
      </c>
      <c r="D6" s="61" t="n">
        <f aca="false">SUMIFS('Data Piutang'!$J$8:$J$307,'Data Piutang'!$M$8:$M$307,"31-60 hari")</f>
        <v>7740000</v>
      </c>
      <c r="E6" s="62" t="n">
        <f aca="false">SUMIFS('Data Piutang'!$J$8:$J$307,'Data Piutang'!$M$8:$M$307,"61-90 hari")</f>
        <v>0</v>
      </c>
      <c r="F6" s="63" t="n">
        <f aca="false">SUMIFS('Data Piutang'!$J$8:$J$307,'Data Piutang'!$M$8:$M$307,"Lebih dari 90 hari")</f>
        <v>0</v>
      </c>
      <c r="G6" s="64" t="n">
        <f aca="false">SUM($B$6:$F$6)</f>
        <v>45760000</v>
      </c>
    </row>
    <row r="7" customFormat="false" ht="15.75" hidden="false" customHeight="true" outlineLevel="0" collapsed="false">
      <c r="B7" s="65" t="n">
        <f aca="false">IFERROR(B6/SUM($B$6:$F$6),0)</f>
        <v>0.830856643356643</v>
      </c>
      <c r="C7" s="66" t="n">
        <f aca="false">IFERROR(C6/SUM($B$6:$F$6),0)</f>
        <v>0</v>
      </c>
      <c r="D7" s="67" t="n">
        <f aca="false">IFERROR(D6/SUM($B$6:$F$6),0)</f>
        <v>0.169143356643357</v>
      </c>
      <c r="E7" s="68" t="n">
        <f aca="false">IFERROR(E6/SUM($B$6:$F$6),0)</f>
        <v>0</v>
      </c>
      <c r="F7" s="69" t="n">
        <f aca="false">IFERROR(F6/SUM($B$6:$F$6),0)</f>
        <v>0</v>
      </c>
      <c r="G7" s="70" t="n">
        <f aca="false">IF($G$6=0,0,1)</f>
        <v>1</v>
      </c>
    </row>
    <row r="9" customFormat="false" ht="19.5" hidden="false" customHeight="true" outlineLevel="0" collapsed="false">
      <c r="B9" s="71" t="s">
        <v>112</v>
      </c>
      <c r="C9" s="71"/>
      <c r="D9" s="71"/>
      <c r="E9" s="71"/>
      <c r="F9" s="71"/>
      <c r="G9" s="72" t="n">
        <f aca="false">$G$6-$H$112</f>
        <v>0</v>
      </c>
    </row>
    <row r="11" customFormat="false" ht="21.75" hidden="false" customHeight="true" outlineLevel="0" collapsed="false">
      <c r="A11" s="16" t="s">
        <v>34</v>
      </c>
      <c r="B11" s="16" t="s">
        <v>75</v>
      </c>
      <c r="C11" s="16" t="s">
        <v>113</v>
      </c>
      <c r="D11" s="16" t="s">
        <v>107</v>
      </c>
      <c r="E11" s="16" t="s">
        <v>108</v>
      </c>
      <c r="F11" s="16" t="s">
        <v>109</v>
      </c>
      <c r="G11" s="16" t="s">
        <v>114</v>
      </c>
      <c r="H11" s="16" t="s">
        <v>111</v>
      </c>
      <c r="I11" s="16" t="s">
        <v>115</v>
      </c>
    </row>
    <row r="12" customFormat="false" ht="15" hidden="false" customHeight="true" outlineLevel="0" collapsed="false">
      <c r="A12" s="73" t="n">
        <f aca="false">IF($B12="","",COUNTA($B$12:$B12))</f>
        <v>1</v>
      </c>
      <c r="B12" s="74" t="str">
        <f aca="false">IF('Master Pelanggan'!$B6="","",'Master Pelanggan'!$B6)</f>
        <v>Toko Berkah Jaya</v>
      </c>
      <c r="C12" s="75" t="n">
        <f aca="false">IF($B12="","",SUMIFS('Data Piutang'!$J$8:$J$307,'Data Piutang'!$D$8:$D$307,$B12,'Data Piutang'!$M$8:$M$307,"Belum Jatuh Tempo"))</f>
        <v>3120000</v>
      </c>
      <c r="D12" s="75" t="n">
        <f aca="false">IF($B12="","",SUMIFS('Data Piutang'!$J$8:$J$307,'Data Piutang'!$D$8:$D$307,$B12,'Data Piutang'!$M$8:$M$307,"1-30 hari"))</f>
        <v>0</v>
      </c>
      <c r="E12" s="75" t="n">
        <f aca="false">IF($B12="","",SUMIFS('Data Piutang'!$J$8:$J$307,'Data Piutang'!$D$8:$D$307,$B12,'Data Piutang'!$M$8:$M$307,"31-60 hari"))</f>
        <v>4800000</v>
      </c>
      <c r="F12" s="75" t="n">
        <f aca="false">IF($B12="","",SUMIFS('Data Piutang'!$J$8:$J$307,'Data Piutang'!$D$8:$D$307,$B12,'Data Piutang'!$M$8:$M$307,"61-90 hari"))</f>
        <v>0</v>
      </c>
      <c r="G12" s="75" t="n">
        <f aca="false">IF($B12="","",SUMIFS('Data Piutang'!$J$8:$J$307,'Data Piutang'!$D$8:$D$307,$B12,'Data Piutang'!$M$8:$M$307,"Lebih dari 90 hari"))</f>
        <v>0</v>
      </c>
      <c r="H12" s="76" t="n">
        <f aca="false">IF($B12="","",SUM($C12:$G12))</f>
        <v>7920000</v>
      </c>
      <c r="I12" s="77" t="n">
        <f aca="false">IF(OR($B12="",$H$112=0),"",$H12/$H$112)</f>
        <v>0.173076923076923</v>
      </c>
    </row>
    <row r="13" customFormat="false" ht="15" hidden="false" customHeight="true" outlineLevel="0" collapsed="false">
      <c r="A13" s="18" t="n">
        <f aca="false">IF($B13="","",COUNTA($B$12:$B13))</f>
        <v>2</v>
      </c>
      <c r="B13" s="78" t="str">
        <f aca="false">IF('Master Pelanggan'!$B7="","",'Master Pelanggan'!$B7)</f>
        <v>CV Mitra Sentosa</v>
      </c>
      <c r="C13" s="79" t="n">
        <f aca="false">IF($B13="","",SUMIFS('Data Piutang'!$J$8:$J$307,'Data Piutang'!$D$8:$D$307,$B13,'Data Piutang'!$M$8:$M$307,"Belum Jatuh Tempo"))</f>
        <v>9500000</v>
      </c>
      <c r="D13" s="79" t="n">
        <f aca="false">IF($B13="","",SUMIFS('Data Piutang'!$J$8:$J$307,'Data Piutang'!$D$8:$D$307,$B13,'Data Piutang'!$M$8:$M$307,"1-30 hari"))</f>
        <v>0</v>
      </c>
      <c r="E13" s="79" t="n">
        <f aca="false">IF($B13="","",SUMIFS('Data Piutang'!$J$8:$J$307,'Data Piutang'!$D$8:$D$307,$B13,'Data Piutang'!$M$8:$M$307,"31-60 hari"))</f>
        <v>0</v>
      </c>
      <c r="F13" s="79" t="n">
        <f aca="false">IF($B13="","",SUMIFS('Data Piutang'!$J$8:$J$307,'Data Piutang'!$D$8:$D$307,$B13,'Data Piutang'!$M$8:$M$307,"61-90 hari"))</f>
        <v>0</v>
      </c>
      <c r="G13" s="79" t="n">
        <f aca="false">IF($B13="","",SUMIFS('Data Piutang'!$J$8:$J$307,'Data Piutang'!$D$8:$D$307,$B13,'Data Piutang'!$M$8:$M$307,"Lebih dari 90 hari"))</f>
        <v>0</v>
      </c>
      <c r="H13" s="80" t="n">
        <f aca="false">IF($B13="","",SUM($C13:$G13))</f>
        <v>9500000</v>
      </c>
      <c r="I13" s="81" t="n">
        <f aca="false">IF(OR($B13="",$H$112=0),"",$H13/$H$112)</f>
        <v>0.207604895104895</v>
      </c>
    </row>
    <row r="14" customFormat="false" ht="15" hidden="false" customHeight="true" outlineLevel="0" collapsed="false">
      <c r="A14" s="73" t="n">
        <f aca="false">IF($B14="","",COUNTA($B$12:$B14))</f>
        <v>3</v>
      </c>
      <c r="B14" s="74" t="str">
        <f aca="false">IF('Master Pelanggan'!$B8="","",'Master Pelanggan'!$B8)</f>
        <v>Warung Bu Yati</v>
      </c>
      <c r="C14" s="75" t="n">
        <f aca="false">IF($B14="","",SUMIFS('Data Piutang'!$J$8:$J$307,'Data Piutang'!$D$8:$D$307,$B14,'Data Piutang'!$M$8:$M$307,"Belum Jatuh Tempo"))</f>
        <v>0</v>
      </c>
      <c r="D14" s="75" t="n">
        <f aca="false">IF($B14="","",SUMIFS('Data Piutang'!$J$8:$J$307,'Data Piutang'!$D$8:$D$307,$B14,'Data Piutang'!$M$8:$M$307,"1-30 hari"))</f>
        <v>0</v>
      </c>
      <c r="E14" s="75" t="n">
        <f aca="false">IF($B14="","",SUMIFS('Data Piutang'!$J$8:$J$307,'Data Piutang'!$D$8:$D$307,$B14,'Data Piutang'!$M$8:$M$307,"31-60 hari"))</f>
        <v>0</v>
      </c>
      <c r="F14" s="75" t="n">
        <f aca="false">IF($B14="","",SUMIFS('Data Piutang'!$J$8:$J$307,'Data Piutang'!$D$8:$D$307,$B14,'Data Piutang'!$M$8:$M$307,"61-90 hari"))</f>
        <v>0</v>
      </c>
      <c r="G14" s="75" t="n">
        <f aca="false">IF($B14="","",SUMIFS('Data Piutang'!$J$8:$J$307,'Data Piutang'!$D$8:$D$307,$B14,'Data Piutang'!$M$8:$M$307,"Lebih dari 90 hari"))</f>
        <v>0</v>
      </c>
      <c r="H14" s="76" t="n">
        <f aca="false">IF($B14="","",SUM($C14:$G14))</f>
        <v>0</v>
      </c>
      <c r="I14" s="77" t="n">
        <f aca="false">IF(OR($B14="",$H$112=0),"",$H14/$H$112)</f>
        <v>0</v>
      </c>
    </row>
    <row r="15" customFormat="false" ht="15" hidden="false" customHeight="true" outlineLevel="0" collapsed="false">
      <c r="A15" s="18" t="n">
        <f aca="false">IF($B15="","",COUNTA($B$12:$B15))</f>
        <v>4</v>
      </c>
      <c r="B15" s="78" t="str">
        <f aca="false">IF('Master Pelanggan'!$B9="","",'Master Pelanggan'!$B9)</f>
        <v>PT Cahaya Nusantara</v>
      </c>
      <c r="C15" s="79" t="n">
        <f aca="false">IF($B15="","",SUMIFS('Data Piutang'!$J$8:$J$307,'Data Piutang'!$D$8:$D$307,$B15,'Data Piutang'!$M$8:$M$307,"Belum Jatuh Tempo"))</f>
        <v>18750000</v>
      </c>
      <c r="D15" s="79" t="n">
        <f aca="false">IF($B15="","",SUMIFS('Data Piutang'!$J$8:$J$307,'Data Piutang'!$D$8:$D$307,$B15,'Data Piutang'!$M$8:$M$307,"1-30 hari"))</f>
        <v>0</v>
      </c>
      <c r="E15" s="79" t="n">
        <f aca="false">IF($B15="","",SUMIFS('Data Piutang'!$J$8:$J$307,'Data Piutang'!$D$8:$D$307,$B15,'Data Piutang'!$M$8:$M$307,"31-60 hari"))</f>
        <v>0</v>
      </c>
      <c r="F15" s="79" t="n">
        <f aca="false">IF($B15="","",SUMIFS('Data Piutang'!$J$8:$J$307,'Data Piutang'!$D$8:$D$307,$B15,'Data Piutang'!$M$8:$M$307,"61-90 hari"))</f>
        <v>0</v>
      </c>
      <c r="G15" s="79" t="n">
        <f aca="false">IF($B15="","",SUMIFS('Data Piutang'!$J$8:$J$307,'Data Piutang'!$D$8:$D$307,$B15,'Data Piutang'!$M$8:$M$307,"Lebih dari 90 hari"))</f>
        <v>0</v>
      </c>
      <c r="H15" s="80" t="n">
        <f aca="false">IF($B15="","",SUM($C15:$G15))</f>
        <v>18750000</v>
      </c>
      <c r="I15" s="81" t="n">
        <f aca="false">IF(OR($B15="",$H$112=0),"",$H15/$H$112)</f>
        <v>0.409746503496504</v>
      </c>
    </row>
    <row r="16" customFormat="false" ht="15" hidden="false" customHeight="true" outlineLevel="0" collapsed="false">
      <c r="A16" s="73" t="n">
        <f aca="false">IF($B16="","",COUNTA($B$12:$B16))</f>
        <v>5</v>
      </c>
      <c r="B16" s="74" t="str">
        <f aca="false">IF('Master Pelanggan'!$B10="","",'Master Pelanggan'!$B10)</f>
        <v>Toko Sinar Abadi</v>
      </c>
      <c r="C16" s="75" t="n">
        <f aca="false">IF($B16="","",SUMIFS('Data Piutang'!$J$8:$J$307,'Data Piutang'!$D$8:$D$307,$B16,'Data Piutang'!$M$8:$M$307,"Belum Jatuh Tempo"))</f>
        <v>4400000</v>
      </c>
      <c r="D16" s="75" t="n">
        <f aca="false">IF($B16="","",SUMIFS('Data Piutang'!$J$8:$J$307,'Data Piutang'!$D$8:$D$307,$B16,'Data Piutang'!$M$8:$M$307,"1-30 hari"))</f>
        <v>0</v>
      </c>
      <c r="E16" s="75" t="n">
        <f aca="false">IF($B16="","",SUMIFS('Data Piutang'!$J$8:$J$307,'Data Piutang'!$D$8:$D$307,$B16,'Data Piutang'!$M$8:$M$307,"31-60 hari"))</f>
        <v>0</v>
      </c>
      <c r="F16" s="75" t="n">
        <f aca="false">IF($B16="","",SUMIFS('Data Piutang'!$J$8:$J$307,'Data Piutang'!$D$8:$D$307,$B16,'Data Piutang'!$M$8:$M$307,"61-90 hari"))</f>
        <v>0</v>
      </c>
      <c r="G16" s="75" t="n">
        <f aca="false">IF($B16="","",SUMIFS('Data Piutang'!$J$8:$J$307,'Data Piutang'!$D$8:$D$307,$B16,'Data Piutang'!$M$8:$M$307,"Lebih dari 90 hari"))</f>
        <v>0</v>
      </c>
      <c r="H16" s="76" t="n">
        <f aca="false">IF($B16="","",SUM($C16:$G16))</f>
        <v>4400000</v>
      </c>
      <c r="I16" s="77" t="n">
        <f aca="false">IF(OR($B16="",$H$112=0),"",$H16/$H$112)</f>
        <v>0.0961538461538462</v>
      </c>
    </row>
    <row r="17" customFormat="false" ht="15" hidden="false" customHeight="true" outlineLevel="0" collapsed="false">
      <c r="A17" s="18" t="n">
        <f aca="false">IF($B17="","",COUNTA($B$12:$B17))</f>
        <v>6</v>
      </c>
      <c r="B17" s="78" t="str">
        <f aca="false">IF('Master Pelanggan'!$B11="","",'Master Pelanggan'!$B11)</f>
        <v>Kios Melati</v>
      </c>
      <c r="C17" s="79" t="n">
        <f aca="false">IF($B17="","",SUMIFS('Data Piutang'!$J$8:$J$307,'Data Piutang'!$D$8:$D$307,$B17,'Data Piutang'!$M$8:$M$307,"Belum Jatuh Tempo"))</f>
        <v>2250000</v>
      </c>
      <c r="D17" s="79" t="n">
        <f aca="false">IF($B17="","",SUMIFS('Data Piutang'!$J$8:$J$307,'Data Piutang'!$D$8:$D$307,$B17,'Data Piutang'!$M$8:$M$307,"1-30 hari"))</f>
        <v>0</v>
      </c>
      <c r="E17" s="79" t="n">
        <f aca="false">IF($B17="","",SUMIFS('Data Piutang'!$J$8:$J$307,'Data Piutang'!$D$8:$D$307,$B17,'Data Piutang'!$M$8:$M$307,"31-60 hari"))</f>
        <v>2940000</v>
      </c>
      <c r="F17" s="79" t="n">
        <f aca="false">IF($B17="","",SUMIFS('Data Piutang'!$J$8:$J$307,'Data Piutang'!$D$8:$D$307,$B17,'Data Piutang'!$M$8:$M$307,"61-90 hari"))</f>
        <v>0</v>
      </c>
      <c r="G17" s="79" t="n">
        <f aca="false">IF($B17="","",SUMIFS('Data Piutang'!$J$8:$J$307,'Data Piutang'!$D$8:$D$307,$B17,'Data Piutang'!$M$8:$M$307,"Lebih dari 90 hari"))</f>
        <v>0</v>
      </c>
      <c r="H17" s="80" t="n">
        <f aca="false">IF($B17="","",SUM($C17:$G17))</f>
        <v>5190000</v>
      </c>
      <c r="I17" s="81" t="n">
        <f aca="false">IF(OR($B17="",$H$112=0),"",$H17/$H$112)</f>
        <v>0.113417832167832</v>
      </c>
    </row>
    <row r="18" customFormat="false" ht="15" hidden="false" customHeight="true" outlineLevel="0" collapsed="false">
      <c r="A18" s="73" t="str">
        <f aca="false">IF($B18="","",COUNTA($B$12:$B18))</f>
        <v/>
      </c>
      <c r="B18" s="74" t="str">
        <f aca="false">IF('Master Pelanggan'!$B12="","",'Master Pelanggan'!$B12)</f>
        <v/>
      </c>
      <c r="C18" s="75" t="str">
        <f aca="false">IF($B18="","",SUMIFS('Data Piutang'!$J$8:$J$307,'Data Piutang'!$D$8:$D$307,$B18,'Data Piutang'!$M$8:$M$307,"Belum Jatuh Tempo"))</f>
        <v/>
      </c>
      <c r="D18" s="75" t="str">
        <f aca="false">IF($B18="","",SUMIFS('Data Piutang'!$J$8:$J$307,'Data Piutang'!$D$8:$D$307,$B18,'Data Piutang'!$M$8:$M$307,"1-30 hari"))</f>
        <v/>
      </c>
      <c r="E18" s="75" t="str">
        <f aca="false">IF($B18="","",SUMIFS('Data Piutang'!$J$8:$J$307,'Data Piutang'!$D$8:$D$307,$B18,'Data Piutang'!$M$8:$M$307,"31-60 hari"))</f>
        <v/>
      </c>
      <c r="F18" s="75" t="str">
        <f aca="false">IF($B18="","",SUMIFS('Data Piutang'!$J$8:$J$307,'Data Piutang'!$D$8:$D$307,$B18,'Data Piutang'!$M$8:$M$307,"61-90 hari"))</f>
        <v/>
      </c>
      <c r="G18" s="75" t="str">
        <f aca="false">IF($B18="","",SUMIFS('Data Piutang'!$J$8:$J$307,'Data Piutang'!$D$8:$D$307,$B18,'Data Piutang'!$M$8:$M$307,"Lebih dari 90 hari"))</f>
        <v/>
      </c>
      <c r="H18" s="76" t="str">
        <f aca="false">IF($B18="","",SUM($C18:$G18))</f>
        <v/>
      </c>
      <c r="I18" s="77" t="str">
        <f aca="false">IF(OR($B18="",$H$112=0),"",$H18/$H$112)</f>
        <v/>
      </c>
    </row>
    <row r="19" customFormat="false" ht="15" hidden="false" customHeight="true" outlineLevel="0" collapsed="false">
      <c r="A19" s="18" t="str">
        <f aca="false">IF($B19="","",COUNTA($B$12:$B19))</f>
        <v/>
      </c>
      <c r="B19" s="78" t="str">
        <f aca="false">IF('Master Pelanggan'!$B13="","",'Master Pelanggan'!$B13)</f>
        <v/>
      </c>
      <c r="C19" s="79" t="str">
        <f aca="false">IF($B19="","",SUMIFS('Data Piutang'!$J$8:$J$307,'Data Piutang'!$D$8:$D$307,$B19,'Data Piutang'!$M$8:$M$307,"Belum Jatuh Tempo"))</f>
        <v/>
      </c>
      <c r="D19" s="79" t="str">
        <f aca="false">IF($B19="","",SUMIFS('Data Piutang'!$J$8:$J$307,'Data Piutang'!$D$8:$D$307,$B19,'Data Piutang'!$M$8:$M$307,"1-30 hari"))</f>
        <v/>
      </c>
      <c r="E19" s="79" t="str">
        <f aca="false">IF($B19="","",SUMIFS('Data Piutang'!$J$8:$J$307,'Data Piutang'!$D$8:$D$307,$B19,'Data Piutang'!$M$8:$M$307,"31-60 hari"))</f>
        <v/>
      </c>
      <c r="F19" s="79" t="str">
        <f aca="false">IF($B19="","",SUMIFS('Data Piutang'!$J$8:$J$307,'Data Piutang'!$D$8:$D$307,$B19,'Data Piutang'!$M$8:$M$307,"61-90 hari"))</f>
        <v/>
      </c>
      <c r="G19" s="79" t="str">
        <f aca="false">IF($B19="","",SUMIFS('Data Piutang'!$J$8:$J$307,'Data Piutang'!$D$8:$D$307,$B19,'Data Piutang'!$M$8:$M$307,"Lebih dari 90 hari"))</f>
        <v/>
      </c>
      <c r="H19" s="80" t="str">
        <f aca="false">IF($B19="","",SUM($C19:$G19))</f>
        <v/>
      </c>
      <c r="I19" s="81" t="str">
        <f aca="false">IF(OR($B19="",$H$112=0),"",$H19/$H$112)</f>
        <v/>
      </c>
    </row>
    <row r="20" customFormat="false" ht="15" hidden="false" customHeight="true" outlineLevel="0" collapsed="false">
      <c r="A20" s="73" t="str">
        <f aca="false">IF($B20="","",COUNTA($B$12:$B20))</f>
        <v/>
      </c>
      <c r="B20" s="74" t="str">
        <f aca="false">IF('Master Pelanggan'!$B14="","",'Master Pelanggan'!$B14)</f>
        <v/>
      </c>
      <c r="C20" s="75" t="str">
        <f aca="false">IF($B20="","",SUMIFS('Data Piutang'!$J$8:$J$307,'Data Piutang'!$D$8:$D$307,$B20,'Data Piutang'!$M$8:$M$307,"Belum Jatuh Tempo"))</f>
        <v/>
      </c>
      <c r="D20" s="75" t="str">
        <f aca="false">IF($B20="","",SUMIFS('Data Piutang'!$J$8:$J$307,'Data Piutang'!$D$8:$D$307,$B20,'Data Piutang'!$M$8:$M$307,"1-30 hari"))</f>
        <v/>
      </c>
      <c r="E20" s="75" t="str">
        <f aca="false">IF($B20="","",SUMIFS('Data Piutang'!$J$8:$J$307,'Data Piutang'!$D$8:$D$307,$B20,'Data Piutang'!$M$8:$M$307,"31-60 hari"))</f>
        <v/>
      </c>
      <c r="F20" s="75" t="str">
        <f aca="false">IF($B20="","",SUMIFS('Data Piutang'!$J$8:$J$307,'Data Piutang'!$D$8:$D$307,$B20,'Data Piutang'!$M$8:$M$307,"61-90 hari"))</f>
        <v/>
      </c>
      <c r="G20" s="75" t="str">
        <f aca="false">IF($B20="","",SUMIFS('Data Piutang'!$J$8:$J$307,'Data Piutang'!$D$8:$D$307,$B20,'Data Piutang'!$M$8:$M$307,"Lebih dari 90 hari"))</f>
        <v/>
      </c>
      <c r="H20" s="76" t="str">
        <f aca="false">IF($B20="","",SUM($C20:$G20))</f>
        <v/>
      </c>
      <c r="I20" s="77" t="str">
        <f aca="false">IF(OR($B20="",$H$112=0),"",$H20/$H$112)</f>
        <v/>
      </c>
    </row>
    <row r="21" customFormat="false" ht="15" hidden="false" customHeight="true" outlineLevel="0" collapsed="false">
      <c r="A21" s="18" t="str">
        <f aca="false">IF($B21="","",COUNTA($B$12:$B21))</f>
        <v/>
      </c>
      <c r="B21" s="78" t="str">
        <f aca="false">IF('Master Pelanggan'!$B15="","",'Master Pelanggan'!$B15)</f>
        <v/>
      </c>
      <c r="C21" s="79" t="str">
        <f aca="false">IF($B21="","",SUMIFS('Data Piutang'!$J$8:$J$307,'Data Piutang'!$D$8:$D$307,$B21,'Data Piutang'!$M$8:$M$307,"Belum Jatuh Tempo"))</f>
        <v/>
      </c>
      <c r="D21" s="79" t="str">
        <f aca="false">IF($B21="","",SUMIFS('Data Piutang'!$J$8:$J$307,'Data Piutang'!$D$8:$D$307,$B21,'Data Piutang'!$M$8:$M$307,"1-30 hari"))</f>
        <v/>
      </c>
      <c r="E21" s="79" t="str">
        <f aca="false">IF($B21="","",SUMIFS('Data Piutang'!$J$8:$J$307,'Data Piutang'!$D$8:$D$307,$B21,'Data Piutang'!$M$8:$M$307,"31-60 hari"))</f>
        <v/>
      </c>
      <c r="F21" s="79" t="str">
        <f aca="false">IF($B21="","",SUMIFS('Data Piutang'!$J$8:$J$307,'Data Piutang'!$D$8:$D$307,$B21,'Data Piutang'!$M$8:$M$307,"61-90 hari"))</f>
        <v/>
      </c>
      <c r="G21" s="79" t="str">
        <f aca="false">IF($B21="","",SUMIFS('Data Piutang'!$J$8:$J$307,'Data Piutang'!$D$8:$D$307,$B21,'Data Piutang'!$M$8:$M$307,"Lebih dari 90 hari"))</f>
        <v/>
      </c>
      <c r="H21" s="80" t="str">
        <f aca="false">IF($B21="","",SUM($C21:$G21))</f>
        <v/>
      </c>
      <c r="I21" s="81" t="str">
        <f aca="false">IF(OR($B21="",$H$112=0),"",$H21/$H$112)</f>
        <v/>
      </c>
    </row>
    <row r="22" customFormat="false" ht="15" hidden="false" customHeight="true" outlineLevel="0" collapsed="false">
      <c r="A22" s="73" t="str">
        <f aca="false">IF($B22="","",COUNTA($B$12:$B22))</f>
        <v/>
      </c>
      <c r="B22" s="74" t="str">
        <f aca="false">IF('Master Pelanggan'!$B16="","",'Master Pelanggan'!$B16)</f>
        <v/>
      </c>
      <c r="C22" s="75" t="str">
        <f aca="false">IF($B22="","",SUMIFS('Data Piutang'!$J$8:$J$307,'Data Piutang'!$D$8:$D$307,$B22,'Data Piutang'!$M$8:$M$307,"Belum Jatuh Tempo"))</f>
        <v/>
      </c>
      <c r="D22" s="75" t="str">
        <f aca="false">IF($B22="","",SUMIFS('Data Piutang'!$J$8:$J$307,'Data Piutang'!$D$8:$D$307,$B22,'Data Piutang'!$M$8:$M$307,"1-30 hari"))</f>
        <v/>
      </c>
      <c r="E22" s="75" t="str">
        <f aca="false">IF($B22="","",SUMIFS('Data Piutang'!$J$8:$J$307,'Data Piutang'!$D$8:$D$307,$B22,'Data Piutang'!$M$8:$M$307,"31-60 hari"))</f>
        <v/>
      </c>
      <c r="F22" s="75" t="str">
        <f aca="false">IF($B22="","",SUMIFS('Data Piutang'!$J$8:$J$307,'Data Piutang'!$D$8:$D$307,$B22,'Data Piutang'!$M$8:$M$307,"61-90 hari"))</f>
        <v/>
      </c>
      <c r="G22" s="75" t="str">
        <f aca="false">IF($B22="","",SUMIFS('Data Piutang'!$J$8:$J$307,'Data Piutang'!$D$8:$D$307,$B22,'Data Piutang'!$M$8:$M$307,"Lebih dari 90 hari"))</f>
        <v/>
      </c>
      <c r="H22" s="76" t="str">
        <f aca="false">IF($B22="","",SUM($C22:$G22))</f>
        <v/>
      </c>
      <c r="I22" s="77" t="str">
        <f aca="false">IF(OR($B22="",$H$112=0),"",$H22/$H$112)</f>
        <v/>
      </c>
    </row>
    <row r="23" customFormat="false" ht="15" hidden="false" customHeight="true" outlineLevel="0" collapsed="false">
      <c r="A23" s="18" t="str">
        <f aca="false">IF($B23="","",COUNTA($B$12:$B23))</f>
        <v/>
      </c>
      <c r="B23" s="78" t="str">
        <f aca="false">IF('Master Pelanggan'!$B17="","",'Master Pelanggan'!$B17)</f>
        <v/>
      </c>
      <c r="C23" s="79" t="str">
        <f aca="false">IF($B23="","",SUMIFS('Data Piutang'!$J$8:$J$307,'Data Piutang'!$D$8:$D$307,$B23,'Data Piutang'!$M$8:$M$307,"Belum Jatuh Tempo"))</f>
        <v/>
      </c>
      <c r="D23" s="79" t="str">
        <f aca="false">IF($B23="","",SUMIFS('Data Piutang'!$J$8:$J$307,'Data Piutang'!$D$8:$D$307,$B23,'Data Piutang'!$M$8:$M$307,"1-30 hari"))</f>
        <v/>
      </c>
      <c r="E23" s="79" t="str">
        <f aca="false">IF($B23="","",SUMIFS('Data Piutang'!$J$8:$J$307,'Data Piutang'!$D$8:$D$307,$B23,'Data Piutang'!$M$8:$M$307,"31-60 hari"))</f>
        <v/>
      </c>
      <c r="F23" s="79" t="str">
        <f aca="false">IF($B23="","",SUMIFS('Data Piutang'!$J$8:$J$307,'Data Piutang'!$D$8:$D$307,$B23,'Data Piutang'!$M$8:$M$307,"61-90 hari"))</f>
        <v/>
      </c>
      <c r="G23" s="79" t="str">
        <f aca="false">IF($B23="","",SUMIFS('Data Piutang'!$J$8:$J$307,'Data Piutang'!$D$8:$D$307,$B23,'Data Piutang'!$M$8:$M$307,"Lebih dari 90 hari"))</f>
        <v/>
      </c>
      <c r="H23" s="80" t="str">
        <f aca="false">IF($B23="","",SUM($C23:$G23))</f>
        <v/>
      </c>
      <c r="I23" s="81" t="str">
        <f aca="false">IF(OR($B23="",$H$112=0),"",$H23/$H$112)</f>
        <v/>
      </c>
    </row>
    <row r="24" customFormat="false" ht="15" hidden="false" customHeight="true" outlineLevel="0" collapsed="false">
      <c r="A24" s="73" t="str">
        <f aca="false">IF($B24="","",COUNTA($B$12:$B24))</f>
        <v/>
      </c>
      <c r="B24" s="74" t="str">
        <f aca="false">IF('Master Pelanggan'!$B18="","",'Master Pelanggan'!$B18)</f>
        <v/>
      </c>
      <c r="C24" s="75" t="str">
        <f aca="false">IF($B24="","",SUMIFS('Data Piutang'!$J$8:$J$307,'Data Piutang'!$D$8:$D$307,$B24,'Data Piutang'!$M$8:$M$307,"Belum Jatuh Tempo"))</f>
        <v/>
      </c>
      <c r="D24" s="75" t="str">
        <f aca="false">IF($B24="","",SUMIFS('Data Piutang'!$J$8:$J$307,'Data Piutang'!$D$8:$D$307,$B24,'Data Piutang'!$M$8:$M$307,"1-30 hari"))</f>
        <v/>
      </c>
      <c r="E24" s="75" t="str">
        <f aca="false">IF($B24="","",SUMIFS('Data Piutang'!$J$8:$J$307,'Data Piutang'!$D$8:$D$307,$B24,'Data Piutang'!$M$8:$M$307,"31-60 hari"))</f>
        <v/>
      </c>
      <c r="F24" s="75" t="str">
        <f aca="false">IF($B24="","",SUMIFS('Data Piutang'!$J$8:$J$307,'Data Piutang'!$D$8:$D$307,$B24,'Data Piutang'!$M$8:$M$307,"61-90 hari"))</f>
        <v/>
      </c>
      <c r="G24" s="75" t="str">
        <f aca="false">IF($B24="","",SUMIFS('Data Piutang'!$J$8:$J$307,'Data Piutang'!$D$8:$D$307,$B24,'Data Piutang'!$M$8:$M$307,"Lebih dari 90 hari"))</f>
        <v/>
      </c>
      <c r="H24" s="76" t="str">
        <f aca="false">IF($B24="","",SUM($C24:$G24))</f>
        <v/>
      </c>
      <c r="I24" s="77" t="str">
        <f aca="false">IF(OR($B24="",$H$112=0),"",$H24/$H$112)</f>
        <v/>
      </c>
    </row>
    <row r="25" customFormat="false" ht="15" hidden="false" customHeight="true" outlineLevel="0" collapsed="false">
      <c r="A25" s="18" t="str">
        <f aca="false">IF($B25="","",COUNTA($B$12:$B25))</f>
        <v/>
      </c>
      <c r="B25" s="78" t="str">
        <f aca="false">IF('Master Pelanggan'!$B19="","",'Master Pelanggan'!$B19)</f>
        <v/>
      </c>
      <c r="C25" s="79" t="str">
        <f aca="false">IF($B25="","",SUMIFS('Data Piutang'!$J$8:$J$307,'Data Piutang'!$D$8:$D$307,$B25,'Data Piutang'!$M$8:$M$307,"Belum Jatuh Tempo"))</f>
        <v/>
      </c>
      <c r="D25" s="79" t="str">
        <f aca="false">IF($B25="","",SUMIFS('Data Piutang'!$J$8:$J$307,'Data Piutang'!$D$8:$D$307,$B25,'Data Piutang'!$M$8:$M$307,"1-30 hari"))</f>
        <v/>
      </c>
      <c r="E25" s="79" t="str">
        <f aca="false">IF($B25="","",SUMIFS('Data Piutang'!$J$8:$J$307,'Data Piutang'!$D$8:$D$307,$B25,'Data Piutang'!$M$8:$M$307,"31-60 hari"))</f>
        <v/>
      </c>
      <c r="F25" s="79" t="str">
        <f aca="false">IF($B25="","",SUMIFS('Data Piutang'!$J$8:$J$307,'Data Piutang'!$D$8:$D$307,$B25,'Data Piutang'!$M$8:$M$307,"61-90 hari"))</f>
        <v/>
      </c>
      <c r="G25" s="79" t="str">
        <f aca="false">IF($B25="","",SUMIFS('Data Piutang'!$J$8:$J$307,'Data Piutang'!$D$8:$D$307,$B25,'Data Piutang'!$M$8:$M$307,"Lebih dari 90 hari"))</f>
        <v/>
      </c>
      <c r="H25" s="80" t="str">
        <f aca="false">IF($B25="","",SUM($C25:$G25))</f>
        <v/>
      </c>
      <c r="I25" s="81" t="str">
        <f aca="false">IF(OR($B25="",$H$112=0),"",$H25/$H$112)</f>
        <v/>
      </c>
    </row>
    <row r="26" customFormat="false" ht="15" hidden="false" customHeight="true" outlineLevel="0" collapsed="false">
      <c r="A26" s="73" t="str">
        <f aca="false">IF($B26="","",COUNTA($B$12:$B26))</f>
        <v/>
      </c>
      <c r="B26" s="74" t="str">
        <f aca="false">IF('Master Pelanggan'!$B20="","",'Master Pelanggan'!$B20)</f>
        <v/>
      </c>
      <c r="C26" s="75" t="str">
        <f aca="false">IF($B26="","",SUMIFS('Data Piutang'!$J$8:$J$307,'Data Piutang'!$D$8:$D$307,$B26,'Data Piutang'!$M$8:$M$307,"Belum Jatuh Tempo"))</f>
        <v/>
      </c>
      <c r="D26" s="75" t="str">
        <f aca="false">IF($B26="","",SUMIFS('Data Piutang'!$J$8:$J$307,'Data Piutang'!$D$8:$D$307,$B26,'Data Piutang'!$M$8:$M$307,"1-30 hari"))</f>
        <v/>
      </c>
      <c r="E26" s="75" t="str">
        <f aca="false">IF($B26="","",SUMIFS('Data Piutang'!$J$8:$J$307,'Data Piutang'!$D$8:$D$307,$B26,'Data Piutang'!$M$8:$M$307,"31-60 hari"))</f>
        <v/>
      </c>
      <c r="F26" s="75" t="str">
        <f aca="false">IF($B26="","",SUMIFS('Data Piutang'!$J$8:$J$307,'Data Piutang'!$D$8:$D$307,$B26,'Data Piutang'!$M$8:$M$307,"61-90 hari"))</f>
        <v/>
      </c>
      <c r="G26" s="75" t="str">
        <f aca="false">IF($B26="","",SUMIFS('Data Piutang'!$J$8:$J$307,'Data Piutang'!$D$8:$D$307,$B26,'Data Piutang'!$M$8:$M$307,"Lebih dari 90 hari"))</f>
        <v/>
      </c>
      <c r="H26" s="76" t="str">
        <f aca="false">IF($B26="","",SUM($C26:$G26))</f>
        <v/>
      </c>
      <c r="I26" s="77" t="str">
        <f aca="false">IF(OR($B26="",$H$112=0),"",$H26/$H$112)</f>
        <v/>
      </c>
    </row>
    <row r="27" customFormat="false" ht="15" hidden="false" customHeight="true" outlineLevel="0" collapsed="false">
      <c r="A27" s="18" t="str">
        <f aca="false">IF($B27="","",COUNTA($B$12:$B27))</f>
        <v/>
      </c>
      <c r="B27" s="78" t="str">
        <f aca="false">IF('Master Pelanggan'!$B21="","",'Master Pelanggan'!$B21)</f>
        <v/>
      </c>
      <c r="C27" s="79" t="str">
        <f aca="false">IF($B27="","",SUMIFS('Data Piutang'!$J$8:$J$307,'Data Piutang'!$D$8:$D$307,$B27,'Data Piutang'!$M$8:$M$307,"Belum Jatuh Tempo"))</f>
        <v/>
      </c>
      <c r="D27" s="79" t="str">
        <f aca="false">IF($B27="","",SUMIFS('Data Piutang'!$J$8:$J$307,'Data Piutang'!$D$8:$D$307,$B27,'Data Piutang'!$M$8:$M$307,"1-30 hari"))</f>
        <v/>
      </c>
      <c r="E27" s="79" t="str">
        <f aca="false">IF($B27="","",SUMIFS('Data Piutang'!$J$8:$J$307,'Data Piutang'!$D$8:$D$307,$B27,'Data Piutang'!$M$8:$M$307,"31-60 hari"))</f>
        <v/>
      </c>
      <c r="F27" s="79" t="str">
        <f aca="false">IF($B27="","",SUMIFS('Data Piutang'!$J$8:$J$307,'Data Piutang'!$D$8:$D$307,$B27,'Data Piutang'!$M$8:$M$307,"61-90 hari"))</f>
        <v/>
      </c>
      <c r="G27" s="79" t="str">
        <f aca="false">IF($B27="","",SUMIFS('Data Piutang'!$J$8:$J$307,'Data Piutang'!$D$8:$D$307,$B27,'Data Piutang'!$M$8:$M$307,"Lebih dari 90 hari"))</f>
        <v/>
      </c>
      <c r="H27" s="80" t="str">
        <f aca="false">IF($B27="","",SUM($C27:$G27))</f>
        <v/>
      </c>
      <c r="I27" s="81" t="str">
        <f aca="false">IF(OR($B27="",$H$112=0),"",$H27/$H$112)</f>
        <v/>
      </c>
    </row>
    <row r="28" customFormat="false" ht="15" hidden="false" customHeight="true" outlineLevel="0" collapsed="false">
      <c r="A28" s="73" t="str">
        <f aca="false">IF($B28="","",COUNTA($B$12:$B28))</f>
        <v/>
      </c>
      <c r="B28" s="74" t="str">
        <f aca="false">IF('Master Pelanggan'!$B22="","",'Master Pelanggan'!$B22)</f>
        <v/>
      </c>
      <c r="C28" s="75" t="str">
        <f aca="false">IF($B28="","",SUMIFS('Data Piutang'!$J$8:$J$307,'Data Piutang'!$D$8:$D$307,$B28,'Data Piutang'!$M$8:$M$307,"Belum Jatuh Tempo"))</f>
        <v/>
      </c>
      <c r="D28" s="75" t="str">
        <f aca="false">IF($B28="","",SUMIFS('Data Piutang'!$J$8:$J$307,'Data Piutang'!$D$8:$D$307,$B28,'Data Piutang'!$M$8:$M$307,"1-30 hari"))</f>
        <v/>
      </c>
      <c r="E28" s="75" t="str">
        <f aca="false">IF($B28="","",SUMIFS('Data Piutang'!$J$8:$J$307,'Data Piutang'!$D$8:$D$307,$B28,'Data Piutang'!$M$8:$M$307,"31-60 hari"))</f>
        <v/>
      </c>
      <c r="F28" s="75" t="str">
        <f aca="false">IF($B28="","",SUMIFS('Data Piutang'!$J$8:$J$307,'Data Piutang'!$D$8:$D$307,$B28,'Data Piutang'!$M$8:$M$307,"61-90 hari"))</f>
        <v/>
      </c>
      <c r="G28" s="75" t="str">
        <f aca="false">IF($B28="","",SUMIFS('Data Piutang'!$J$8:$J$307,'Data Piutang'!$D$8:$D$307,$B28,'Data Piutang'!$M$8:$M$307,"Lebih dari 90 hari"))</f>
        <v/>
      </c>
      <c r="H28" s="76" t="str">
        <f aca="false">IF($B28="","",SUM($C28:$G28))</f>
        <v/>
      </c>
      <c r="I28" s="77" t="str">
        <f aca="false">IF(OR($B28="",$H$112=0),"",$H28/$H$112)</f>
        <v/>
      </c>
    </row>
    <row r="29" customFormat="false" ht="15" hidden="false" customHeight="true" outlineLevel="0" collapsed="false">
      <c r="A29" s="18" t="str">
        <f aca="false">IF($B29="","",COUNTA($B$12:$B29))</f>
        <v/>
      </c>
      <c r="B29" s="78" t="str">
        <f aca="false">IF('Master Pelanggan'!$B23="","",'Master Pelanggan'!$B23)</f>
        <v/>
      </c>
      <c r="C29" s="79" t="str">
        <f aca="false">IF($B29="","",SUMIFS('Data Piutang'!$J$8:$J$307,'Data Piutang'!$D$8:$D$307,$B29,'Data Piutang'!$M$8:$M$307,"Belum Jatuh Tempo"))</f>
        <v/>
      </c>
      <c r="D29" s="79" t="str">
        <f aca="false">IF($B29="","",SUMIFS('Data Piutang'!$J$8:$J$307,'Data Piutang'!$D$8:$D$307,$B29,'Data Piutang'!$M$8:$M$307,"1-30 hari"))</f>
        <v/>
      </c>
      <c r="E29" s="79" t="str">
        <f aca="false">IF($B29="","",SUMIFS('Data Piutang'!$J$8:$J$307,'Data Piutang'!$D$8:$D$307,$B29,'Data Piutang'!$M$8:$M$307,"31-60 hari"))</f>
        <v/>
      </c>
      <c r="F29" s="79" t="str">
        <f aca="false">IF($B29="","",SUMIFS('Data Piutang'!$J$8:$J$307,'Data Piutang'!$D$8:$D$307,$B29,'Data Piutang'!$M$8:$M$307,"61-90 hari"))</f>
        <v/>
      </c>
      <c r="G29" s="79" t="str">
        <f aca="false">IF($B29="","",SUMIFS('Data Piutang'!$J$8:$J$307,'Data Piutang'!$D$8:$D$307,$B29,'Data Piutang'!$M$8:$M$307,"Lebih dari 90 hari"))</f>
        <v/>
      </c>
      <c r="H29" s="80" t="str">
        <f aca="false">IF($B29="","",SUM($C29:$G29))</f>
        <v/>
      </c>
      <c r="I29" s="81" t="str">
        <f aca="false">IF(OR($B29="",$H$112=0),"",$H29/$H$112)</f>
        <v/>
      </c>
    </row>
    <row r="30" customFormat="false" ht="15" hidden="false" customHeight="true" outlineLevel="0" collapsed="false">
      <c r="A30" s="73" t="str">
        <f aca="false">IF($B30="","",COUNTA($B$12:$B30))</f>
        <v/>
      </c>
      <c r="B30" s="74" t="str">
        <f aca="false">IF('Master Pelanggan'!$B24="","",'Master Pelanggan'!$B24)</f>
        <v/>
      </c>
      <c r="C30" s="75" t="str">
        <f aca="false">IF($B30="","",SUMIFS('Data Piutang'!$J$8:$J$307,'Data Piutang'!$D$8:$D$307,$B30,'Data Piutang'!$M$8:$M$307,"Belum Jatuh Tempo"))</f>
        <v/>
      </c>
      <c r="D30" s="75" t="str">
        <f aca="false">IF($B30="","",SUMIFS('Data Piutang'!$J$8:$J$307,'Data Piutang'!$D$8:$D$307,$B30,'Data Piutang'!$M$8:$M$307,"1-30 hari"))</f>
        <v/>
      </c>
      <c r="E30" s="75" t="str">
        <f aca="false">IF($B30="","",SUMIFS('Data Piutang'!$J$8:$J$307,'Data Piutang'!$D$8:$D$307,$B30,'Data Piutang'!$M$8:$M$307,"31-60 hari"))</f>
        <v/>
      </c>
      <c r="F30" s="75" t="str">
        <f aca="false">IF($B30="","",SUMIFS('Data Piutang'!$J$8:$J$307,'Data Piutang'!$D$8:$D$307,$B30,'Data Piutang'!$M$8:$M$307,"61-90 hari"))</f>
        <v/>
      </c>
      <c r="G30" s="75" t="str">
        <f aca="false">IF($B30="","",SUMIFS('Data Piutang'!$J$8:$J$307,'Data Piutang'!$D$8:$D$307,$B30,'Data Piutang'!$M$8:$M$307,"Lebih dari 90 hari"))</f>
        <v/>
      </c>
      <c r="H30" s="76" t="str">
        <f aca="false">IF($B30="","",SUM($C30:$G30))</f>
        <v/>
      </c>
      <c r="I30" s="77" t="str">
        <f aca="false">IF(OR($B30="",$H$112=0),"",$H30/$H$112)</f>
        <v/>
      </c>
    </row>
    <row r="31" customFormat="false" ht="15" hidden="false" customHeight="true" outlineLevel="0" collapsed="false">
      <c r="A31" s="18" t="str">
        <f aca="false">IF($B31="","",COUNTA($B$12:$B31))</f>
        <v/>
      </c>
      <c r="B31" s="78" t="str">
        <f aca="false">IF('Master Pelanggan'!$B25="","",'Master Pelanggan'!$B25)</f>
        <v/>
      </c>
      <c r="C31" s="79" t="str">
        <f aca="false">IF($B31="","",SUMIFS('Data Piutang'!$J$8:$J$307,'Data Piutang'!$D$8:$D$307,$B31,'Data Piutang'!$M$8:$M$307,"Belum Jatuh Tempo"))</f>
        <v/>
      </c>
      <c r="D31" s="79" t="str">
        <f aca="false">IF($B31="","",SUMIFS('Data Piutang'!$J$8:$J$307,'Data Piutang'!$D$8:$D$307,$B31,'Data Piutang'!$M$8:$M$307,"1-30 hari"))</f>
        <v/>
      </c>
      <c r="E31" s="79" t="str">
        <f aca="false">IF($B31="","",SUMIFS('Data Piutang'!$J$8:$J$307,'Data Piutang'!$D$8:$D$307,$B31,'Data Piutang'!$M$8:$M$307,"31-60 hari"))</f>
        <v/>
      </c>
      <c r="F31" s="79" t="str">
        <f aca="false">IF($B31="","",SUMIFS('Data Piutang'!$J$8:$J$307,'Data Piutang'!$D$8:$D$307,$B31,'Data Piutang'!$M$8:$M$307,"61-90 hari"))</f>
        <v/>
      </c>
      <c r="G31" s="79" t="str">
        <f aca="false">IF($B31="","",SUMIFS('Data Piutang'!$J$8:$J$307,'Data Piutang'!$D$8:$D$307,$B31,'Data Piutang'!$M$8:$M$307,"Lebih dari 90 hari"))</f>
        <v/>
      </c>
      <c r="H31" s="80" t="str">
        <f aca="false">IF($B31="","",SUM($C31:$G31))</f>
        <v/>
      </c>
      <c r="I31" s="81" t="str">
        <f aca="false">IF(OR($B31="",$H$112=0),"",$H31/$H$112)</f>
        <v/>
      </c>
    </row>
    <row r="32" customFormat="false" ht="15" hidden="false" customHeight="true" outlineLevel="0" collapsed="false">
      <c r="A32" s="73" t="str">
        <f aca="false">IF($B32="","",COUNTA($B$12:$B32))</f>
        <v/>
      </c>
      <c r="B32" s="74" t="str">
        <f aca="false">IF('Master Pelanggan'!$B26="","",'Master Pelanggan'!$B26)</f>
        <v/>
      </c>
      <c r="C32" s="75" t="str">
        <f aca="false">IF($B32="","",SUMIFS('Data Piutang'!$J$8:$J$307,'Data Piutang'!$D$8:$D$307,$B32,'Data Piutang'!$M$8:$M$307,"Belum Jatuh Tempo"))</f>
        <v/>
      </c>
      <c r="D32" s="75" t="str">
        <f aca="false">IF($B32="","",SUMIFS('Data Piutang'!$J$8:$J$307,'Data Piutang'!$D$8:$D$307,$B32,'Data Piutang'!$M$8:$M$307,"1-30 hari"))</f>
        <v/>
      </c>
      <c r="E32" s="75" t="str">
        <f aca="false">IF($B32="","",SUMIFS('Data Piutang'!$J$8:$J$307,'Data Piutang'!$D$8:$D$307,$B32,'Data Piutang'!$M$8:$M$307,"31-60 hari"))</f>
        <v/>
      </c>
      <c r="F32" s="75" t="str">
        <f aca="false">IF($B32="","",SUMIFS('Data Piutang'!$J$8:$J$307,'Data Piutang'!$D$8:$D$307,$B32,'Data Piutang'!$M$8:$M$307,"61-90 hari"))</f>
        <v/>
      </c>
      <c r="G32" s="75" t="str">
        <f aca="false">IF($B32="","",SUMIFS('Data Piutang'!$J$8:$J$307,'Data Piutang'!$D$8:$D$307,$B32,'Data Piutang'!$M$8:$M$307,"Lebih dari 90 hari"))</f>
        <v/>
      </c>
      <c r="H32" s="76" t="str">
        <f aca="false">IF($B32="","",SUM($C32:$G32))</f>
        <v/>
      </c>
      <c r="I32" s="77" t="str">
        <f aca="false">IF(OR($B32="",$H$112=0),"",$H32/$H$112)</f>
        <v/>
      </c>
    </row>
    <row r="33" customFormat="false" ht="15" hidden="false" customHeight="true" outlineLevel="0" collapsed="false">
      <c r="A33" s="18" t="str">
        <f aca="false">IF($B33="","",COUNTA($B$12:$B33))</f>
        <v/>
      </c>
      <c r="B33" s="78" t="str">
        <f aca="false">IF('Master Pelanggan'!$B27="","",'Master Pelanggan'!$B27)</f>
        <v/>
      </c>
      <c r="C33" s="79" t="str">
        <f aca="false">IF($B33="","",SUMIFS('Data Piutang'!$J$8:$J$307,'Data Piutang'!$D$8:$D$307,$B33,'Data Piutang'!$M$8:$M$307,"Belum Jatuh Tempo"))</f>
        <v/>
      </c>
      <c r="D33" s="79" t="str">
        <f aca="false">IF($B33="","",SUMIFS('Data Piutang'!$J$8:$J$307,'Data Piutang'!$D$8:$D$307,$B33,'Data Piutang'!$M$8:$M$307,"1-30 hari"))</f>
        <v/>
      </c>
      <c r="E33" s="79" t="str">
        <f aca="false">IF($B33="","",SUMIFS('Data Piutang'!$J$8:$J$307,'Data Piutang'!$D$8:$D$307,$B33,'Data Piutang'!$M$8:$M$307,"31-60 hari"))</f>
        <v/>
      </c>
      <c r="F33" s="79" t="str">
        <f aca="false">IF($B33="","",SUMIFS('Data Piutang'!$J$8:$J$307,'Data Piutang'!$D$8:$D$307,$B33,'Data Piutang'!$M$8:$M$307,"61-90 hari"))</f>
        <v/>
      </c>
      <c r="G33" s="79" t="str">
        <f aca="false">IF($B33="","",SUMIFS('Data Piutang'!$J$8:$J$307,'Data Piutang'!$D$8:$D$307,$B33,'Data Piutang'!$M$8:$M$307,"Lebih dari 90 hari"))</f>
        <v/>
      </c>
      <c r="H33" s="80" t="str">
        <f aca="false">IF($B33="","",SUM($C33:$G33))</f>
        <v/>
      </c>
      <c r="I33" s="81" t="str">
        <f aca="false">IF(OR($B33="",$H$112=0),"",$H33/$H$112)</f>
        <v/>
      </c>
    </row>
    <row r="34" customFormat="false" ht="15" hidden="false" customHeight="true" outlineLevel="0" collapsed="false">
      <c r="A34" s="73" t="str">
        <f aca="false">IF($B34="","",COUNTA($B$12:$B34))</f>
        <v/>
      </c>
      <c r="B34" s="74" t="str">
        <f aca="false">IF('Master Pelanggan'!$B28="","",'Master Pelanggan'!$B28)</f>
        <v/>
      </c>
      <c r="C34" s="75" t="str">
        <f aca="false">IF($B34="","",SUMIFS('Data Piutang'!$J$8:$J$307,'Data Piutang'!$D$8:$D$307,$B34,'Data Piutang'!$M$8:$M$307,"Belum Jatuh Tempo"))</f>
        <v/>
      </c>
      <c r="D34" s="75" t="str">
        <f aca="false">IF($B34="","",SUMIFS('Data Piutang'!$J$8:$J$307,'Data Piutang'!$D$8:$D$307,$B34,'Data Piutang'!$M$8:$M$307,"1-30 hari"))</f>
        <v/>
      </c>
      <c r="E34" s="75" t="str">
        <f aca="false">IF($B34="","",SUMIFS('Data Piutang'!$J$8:$J$307,'Data Piutang'!$D$8:$D$307,$B34,'Data Piutang'!$M$8:$M$307,"31-60 hari"))</f>
        <v/>
      </c>
      <c r="F34" s="75" t="str">
        <f aca="false">IF($B34="","",SUMIFS('Data Piutang'!$J$8:$J$307,'Data Piutang'!$D$8:$D$307,$B34,'Data Piutang'!$M$8:$M$307,"61-90 hari"))</f>
        <v/>
      </c>
      <c r="G34" s="75" t="str">
        <f aca="false">IF($B34="","",SUMIFS('Data Piutang'!$J$8:$J$307,'Data Piutang'!$D$8:$D$307,$B34,'Data Piutang'!$M$8:$M$307,"Lebih dari 90 hari"))</f>
        <v/>
      </c>
      <c r="H34" s="76" t="str">
        <f aca="false">IF($B34="","",SUM($C34:$G34))</f>
        <v/>
      </c>
      <c r="I34" s="77" t="str">
        <f aca="false">IF(OR($B34="",$H$112=0),"",$H34/$H$112)</f>
        <v/>
      </c>
    </row>
    <row r="35" customFormat="false" ht="15" hidden="false" customHeight="true" outlineLevel="0" collapsed="false">
      <c r="A35" s="18" t="str">
        <f aca="false">IF($B35="","",COUNTA($B$12:$B35))</f>
        <v/>
      </c>
      <c r="B35" s="78" t="str">
        <f aca="false">IF('Master Pelanggan'!$B29="","",'Master Pelanggan'!$B29)</f>
        <v/>
      </c>
      <c r="C35" s="79" t="str">
        <f aca="false">IF($B35="","",SUMIFS('Data Piutang'!$J$8:$J$307,'Data Piutang'!$D$8:$D$307,$B35,'Data Piutang'!$M$8:$M$307,"Belum Jatuh Tempo"))</f>
        <v/>
      </c>
      <c r="D35" s="79" t="str">
        <f aca="false">IF($B35="","",SUMIFS('Data Piutang'!$J$8:$J$307,'Data Piutang'!$D$8:$D$307,$B35,'Data Piutang'!$M$8:$M$307,"1-30 hari"))</f>
        <v/>
      </c>
      <c r="E35" s="79" t="str">
        <f aca="false">IF($B35="","",SUMIFS('Data Piutang'!$J$8:$J$307,'Data Piutang'!$D$8:$D$307,$B35,'Data Piutang'!$M$8:$M$307,"31-60 hari"))</f>
        <v/>
      </c>
      <c r="F35" s="79" t="str">
        <f aca="false">IF($B35="","",SUMIFS('Data Piutang'!$J$8:$J$307,'Data Piutang'!$D$8:$D$307,$B35,'Data Piutang'!$M$8:$M$307,"61-90 hari"))</f>
        <v/>
      </c>
      <c r="G35" s="79" t="str">
        <f aca="false">IF($B35="","",SUMIFS('Data Piutang'!$J$8:$J$307,'Data Piutang'!$D$8:$D$307,$B35,'Data Piutang'!$M$8:$M$307,"Lebih dari 90 hari"))</f>
        <v/>
      </c>
      <c r="H35" s="80" t="str">
        <f aca="false">IF($B35="","",SUM($C35:$G35))</f>
        <v/>
      </c>
      <c r="I35" s="81" t="str">
        <f aca="false">IF(OR($B35="",$H$112=0),"",$H35/$H$112)</f>
        <v/>
      </c>
    </row>
    <row r="36" customFormat="false" ht="15" hidden="false" customHeight="true" outlineLevel="0" collapsed="false">
      <c r="A36" s="73" t="str">
        <f aca="false">IF($B36="","",COUNTA($B$12:$B36))</f>
        <v/>
      </c>
      <c r="B36" s="74" t="str">
        <f aca="false">IF('Master Pelanggan'!$B30="","",'Master Pelanggan'!$B30)</f>
        <v/>
      </c>
      <c r="C36" s="75" t="str">
        <f aca="false">IF($B36="","",SUMIFS('Data Piutang'!$J$8:$J$307,'Data Piutang'!$D$8:$D$307,$B36,'Data Piutang'!$M$8:$M$307,"Belum Jatuh Tempo"))</f>
        <v/>
      </c>
      <c r="D36" s="75" t="str">
        <f aca="false">IF($B36="","",SUMIFS('Data Piutang'!$J$8:$J$307,'Data Piutang'!$D$8:$D$307,$B36,'Data Piutang'!$M$8:$M$307,"1-30 hari"))</f>
        <v/>
      </c>
      <c r="E36" s="75" t="str">
        <f aca="false">IF($B36="","",SUMIFS('Data Piutang'!$J$8:$J$307,'Data Piutang'!$D$8:$D$307,$B36,'Data Piutang'!$M$8:$M$307,"31-60 hari"))</f>
        <v/>
      </c>
      <c r="F36" s="75" t="str">
        <f aca="false">IF($B36="","",SUMIFS('Data Piutang'!$J$8:$J$307,'Data Piutang'!$D$8:$D$307,$B36,'Data Piutang'!$M$8:$M$307,"61-90 hari"))</f>
        <v/>
      </c>
      <c r="G36" s="75" t="str">
        <f aca="false">IF($B36="","",SUMIFS('Data Piutang'!$J$8:$J$307,'Data Piutang'!$D$8:$D$307,$B36,'Data Piutang'!$M$8:$M$307,"Lebih dari 90 hari"))</f>
        <v/>
      </c>
      <c r="H36" s="76" t="str">
        <f aca="false">IF($B36="","",SUM($C36:$G36))</f>
        <v/>
      </c>
      <c r="I36" s="77" t="str">
        <f aca="false">IF(OR($B36="",$H$112=0),"",$H36/$H$112)</f>
        <v/>
      </c>
    </row>
    <row r="37" customFormat="false" ht="15" hidden="false" customHeight="true" outlineLevel="0" collapsed="false">
      <c r="A37" s="18" t="str">
        <f aca="false">IF($B37="","",COUNTA($B$12:$B37))</f>
        <v/>
      </c>
      <c r="B37" s="78" t="str">
        <f aca="false">IF('Master Pelanggan'!$B31="","",'Master Pelanggan'!$B31)</f>
        <v/>
      </c>
      <c r="C37" s="79" t="str">
        <f aca="false">IF($B37="","",SUMIFS('Data Piutang'!$J$8:$J$307,'Data Piutang'!$D$8:$D$307,$B37,'Data Piutang'!$M$8:$M$307,"Belum Jatuh Tempo"))</f>
        <v/>
      </c>
      <c r="D37" s="79" t="str">
        <f aca="false">IF($B37="","",SUMIFS('Data Piutang'!$J$8:$J$307,'Data Piutang'!$D$8:$D$307,$B37,'Data Piutang'!$M$8:$M$307,"1-30 hari"))</f>
        <v/>
      </c>
      <c r="E37" s="79" t="str">
        <f aca="false">IF($B37="","",SUMIFS('Data Piutang'!$J$8:$J$307,'Data Piutang'!$D$8:$D$307,$B37,'Data Piutang'!$M$8:$M$307,"31-60 hari"))</f>
        <v/>
      </c>
      <c r="F37" s="79" t="str">
        <f aca="false">IF($B37="","",SUMIFS('Data Piutang'!$J$8:$J$307,'Data Piutang'!$D$8:$D$307,$B37,'Data Piutang'!$M$8:$M$307,"61-90 hari"))</f>
        <v/>
      </c>
      <c r="G37" s="79" t="str">
        <f aca="false">IF($B37="","",SUMIFS('Data Piutang'!$J$8:$J$307,'Data Piutang'!$D$8:$D$307,$B37,'Data Piutang'!$M$8:$M$307,"Lebih dari 90 hari"))</f>
        <v/>
      </c>
      <c r="H37" s="80" t="str">
        <f aca="false">IF($B37="","",SUM($C37:$G37))</f>
        <v/>
      </c>
      <c r="I37" s="81" t="str">
        <f aca="false">IF(OR($B37="",$H$112=0),"",$H37/$H$112)</f>
        <v/>
      </c>
    </row>
    <row r="38" customFormat="false" ht="15" hidden="false" customHeight="true" outlineLevel="0" collapsed="false">
      <c r="A38" s="73" t="str">
        <f aca="false">IF($B38="","",COUNTA($B$12:$B38))</f>
        <v/>
      </c>
      <c r="B38" s="74" t="str">
        <f aca="false">IF('Master Pelanggan'!$B32="","",'Master Pelanggan'!$B32)</f>
        <v/>
      </c>
      <c r="C38" s="75" t="str">
        <f aca="false">IF($B38="","",SUMIFS('Data Piutang'!$J$8:$J$307,'Data Piutang'!$D$8:$D$307,$B38,'Data Piutang'!$M$8:$M$307,"Belum Jatuh Tempo"))</f>
        <v/>
      </c>
      <c r="D38" s="75" t="str">
        <f aca="false">IF($B38="","",SUMIFS('Data Piutang'!$J$8:$J$307,'Data Piutang'!$D$8:$D$307,$B38,'Data Piutang'!$M$8:$M$307,"1-30 hari"))</f>
        <v/>
      </c>
      <c r="E38" s="75" t="str">
        <f aca="false">IF($B38="","",SUMIFS('Data Piutang'!$J$8:$J$307,'Data Piutang'!$D$8:$D$307,$B38,'Data Piutang'!$M$8:$M$307,"31-60 hari"))</f>
        <v/>
      </c>
      <c r="F38" s="75" t="str">
        <f aca="false">IF($B38="","",SUMIFS('Data Piutang'!$J$8:$J$307,'Data Piutang'!$D$8:$D$307,$B38,'Data Piutang'!$M$8:$M$307,"61-90 hari"))</f>
        <v/>
      </c>
      <c r="G38" s="75" t="str">
        <f aca="false">IF($B38="","",SUMIFS('Data Piutang'!$J$8:$J$307,'Data Piutang'!$D$8:$D$307,$B38,'Data Piutang'!$M$8:$M$307,"Lebih dari 90 hari"))</f>
        <v/>
      </c>
      <c r="H38" s="76" t="str">
        <f aca="false">IF($B38="","",SUM($C38:$G38))</f>
        <v/>
      </c>
      <c r="I38" s="77" t="str">
        <f aca="false">IF(OR($B38="",$H$112=0),"",$H38/$H$112)</f>
        <v/>
      </c>
    </row>
    <row r="39" customFormat="false" ht="15" hidden="false" customHeight="true" outlineLevel="0" collapsed="false">
      <c r="A39" s="18" t="str">
        <f aca="false">IF($B39="","",COUNTA($B$12:$B39))</f>
        <v/>
      </c>
      <c r="B39" s="78" t="str">
        <f aca="false">IF('Master Pelanggan'!$B33="","",'Master Pelanggan'!$B33)</f>
        <v/>
      </c>
      <c r="C39" s="79" t="str">
        <f aca="false">IF($B39="","",SUMIFS('Data Piutang'!$J$8:$J$307,'Data Piutang'!$D$8:$D$307,$B39,'Data Piutang'!$M$8:$M$307,"Belum Jatuh Tempo"))</f>
        <v/>
      </c>
      <c r="D39" s="79" t="str">
        <f aca="false">IF($B39="","",SUMIFS('Data Piutang'!$J$8:$J$307,'Data Piutang'!$D$8:$D$307,$B39,'Data Piutang'!$M$8:$M$307,"1-30 hari"))</f>
        <v/>
      </c>
      <c r="E39" s="79" t="str">
        <f aca="false">IF($B39="","",SUMIFS('Data Piutang'!$J$8:$J$307,'Data Piutang'!$D$8:$D$307,$B39,'Data Piutang'!$M$8:$M$307,"31-60 hari"))</f>
        <v/>
      </c>
      <c r="F39" s="79" t="str">
        <f aca="false">IF($B39="","",SUMIFS('Data Piutang'!$J$8:$J$307,'Data Piutang'!$D$8:$D$307,$B39,'Data Piutang'!$M$8:$M$307,"61-90 hari"))</f>
        <v/>
      </c>
      <c r="G39" s="79" t="str">
        <f aca="false">IF($B39="","",SUMIFS('Data Piutang'!$J$8:$J$307,'Data Piutang'!$D$8:$D$307,$B39,'Data Piutang'!$M$8:$M$307,"Lebih dari 90 hari"))</f>
        <v/>
      </c>
      <c r="H39" s="80" t="str">
        <f aca="false">IF($B39="","",SUM($C39:$G39))</f>
        <v/>
      </c>
      <c r="I39" s="81" t="str">
        <f aca="false">IF(OR($B39="",$H$112=0),"",$H39/$H$112)</f>
        <v/>
      </c>
    </row>
    <row r="40" customFormat="false" ht="15" hidden="false" customHeight="true" outlineLevel="0" collapsed="false">
      <c r="A40" s="73" t="str">
        <f aca="false">IF($B40="","",COUNTA($B$12:$B40))</f>
        <v/>
      </c>
      <c r="B40" s="74" t="str">
        <f aca="false">IF('Master Pelanggan'!$B34="","",'Master Pelanggan'!$B34)</f>
        <v/>
      </c>
      <c r="C40" s="75" t="str">
        <f aca="false">IF($B40="","",SUMIFS('Data Piutang'!$J$8:$J$307,'Data Piutang'!$D$8:$D$307,$B40,'Data Piutang'!$M$8:$M$307,"Belum Jatuh Tempo"))</f>
        <v/>
      </c>
      <c r="D40" s="75" t="str">
        <f aca="false">IF($B40="","",SUMIFS('Data Piutang'!$J$8:$J$307,'Data Piutang'!$D$8:$D$307,$B40,'Data Piutang'!$M$8:$M$307,"1-30 hari"))</f>
        <v/>
      </c>
      <c r="E40" s="75" t="str">
        <f aca="false">IF($B40="","",SUMIFS('Data Piutang'!$J$8:$J$307,'Data Piutang'!$D$8:$D$307,$B40,'Data Piutang'!$M$8:$M$307,"31-60 hari"))</f>
        <v/>
      </c>
      <c r="F40" s="75" t="str">
        <f aca="false">IF($B40="","",SUMIFS('Data Piutang'!$J$8:$J$307,'Data Piutang'!$D$8:$D$307,$B40,'Data Piutang'!$M$8:$M$307,"61-90 hari"))</f>
        <v/>
      </c>
      <c r="G40" s="75" t="str">
        <f aca="false">IF($B40="","",SUMIFS('Data Piutang'!$J$8:$J$307,'Data Piutang'!$D$8:$D$307,$B40,'Data Piutang'!$M$8:$M$307,"Lebih dari 90 hari"))</f>
        <v/>
      </c>
      <c r="H40" s="76" t="str">
        <f aca="false">IF($B40="","",SUM($C40:$G40))</f>
        <v/>
      </c>
      <c r="I40" s="77" t="str">
        <f aca="false">IF(OR($B40="",$H$112=0),"",$H40/$H$112)</f>
        <v/>
      </c>
    </row>
    <row r="41" customFormat="false" ht="15" hidden="false" customHeight="true" outlineLevel="0" collapsed="false">
      <c r="A41" s="18" t="str">
        <f aca="false">IF($B41="","",COUNTA($B$12:$B41))</f>
        <v/>
      </c>
      <c r="B41" s="78" t="str">
        <f aca="false">IF('Master Pelanggan'!$B35="","",'Master Pelanggan'!$B35)</f>
        <v/>
      </c>
      <c r="C41" s="79" t="str">
        <f aca="false">IF($B41="","",SUMIFS('Data Piutang'!$J$8:$J$307,'Data Piutang'!$D$8:$D$307,$B41,'Data Piutang'!$M$8:$M$307,"Belum Jatuh Tempo"))</f>
        <v/>
      </c>
      <c r="D41" s="79" t="str">
        <f aca="false">IF($B41="","",SUMIFS('Data Piutang'!$J$8:$J$307,'Data Piutang'!$D$8:$D$307,$B41,'Data Piutang'!$M$8:$M$307,"1-30 hari"))</f>
        <v/>
      </c>
      <c r="E41" s="79" t="str">
        <f aca="false">IF($B41="","",SUMIFS('Data Piutang'!$J$8:$J$307,'Data Piutang'!$D$8:$D$307,$B41,'Data Piutang'!$M$8:$M$307,"31-60 hari"))</f>
        <v/>
      </c>
      <c r="F41" s="79" t="str">
        <f aca="false">IF($B41="","",SUMIFS('Data Piutang'!$J$8:$J$307,'Data Piutang'!$D$8:$D$307,$B41,'Data Piutang'!$M$8:$M$307,"61-90 hari"))</f>
        <v/>
      </c>
      <c r="G41" s="79" t="str">
        <f aca="false">IF($B41="","",SUMIFS('Data Piutang'!$J$8:$J$307,'Data Piutang'!$D$8:$D$307,$B41,'Data Piutang'!$M$8:$M$307,"Lebih dari 90 hari"))</f>
        <v/>
      </c>
      <c r="H41" s="80" t="str">
        <f aca="false">IF($B41="","",SUM($C41:$G41))</f>
        <v/>
      </c>
      <c r="I41" s="81" t="str">
        <f aca="false">IF(OR($B41="",$H$112=0),"",$H41/$H$112)</f>
        <v/>
      </c>
    </row>
    <row r="42" customFormat="false" ht="15" hidden="false" customHeight="true" outlineLevel="0" collapsed="false">
      <c r="A42" s="73" t="str">
        <f aca="false">IF($B42="","",COUNTA($B$12:$B42))</f>
        <v/>
      </c>
      <c r="B42" s="74" t="str">
        <f aca="false">IF('Master Pelanggan'!$B36="","",'Master Pelanggan'!$B36)</f>
        <v/>
      </c>
      <c r="C42" s="75" t="str">
        <f aca="false">IF($B42="","",SUMIFS('Data Piutang'!$J$8:$J$307,'Data Piutang'!$D$8:$D$307,$B42,'Data Piutang'!$M$8:$M$307,"Belum Jatuh Tempo"))</f>
        <v/>
      </c>
      <c r="D42" s="75" t="str">
        <f aca="false">IF($B42="","",SUMIFS('Data Piutang'!$J$8:$J$307,'Data Piutang'!$D$8:$D$307,$B42,'Data Piutang'!$M$8:$M$307,"1-30 hari"))</f>
        <v/>
      </c>
      <c r="E42" s="75" t="str">
        <f aca="false">IF($B42="","",SUMIFS('Data Piutang'!$J$8:$J$307,'Data Piutang'!$D$8:$D$307,$B42,'Data Piutang'!$M$8:$M$307,"31-60 hari"))</f>
        <v/>
      </c>
      <c r="F42" s="75" t="str">
        <f aca="false">IF($B42="","",SUMIFS('Data Piutang'!$J$8:$J$307,'Data Piutang'!$D$8:$D$307,$B42,'Data Piutang'!$M$8:$M$307,"61-90 hari"))</f>
        <v/>
      </c>
      <c r="G42" s="75" t="str">
        <f aca="false">IF($B42="","",SUMIFS('Data Piutang'!$J$8:$J$307,'Data Piutang'!$D$8:$D$307,$B42,'Data Piutang'!$M$8:$M$307,"Lebih dari 90 hari"))</f>
        <v/>
      </c>
      <c r="H42" s="76" t="str">
        <f aca="false">IF($B42="","",SUM($C42:$G42))</f>
        <v/>
      </c>
      <c r="I42" s="77" t="str">
        <f aca="false">IF(OR($B42="",$H$112=0),"",$H42/$H$112)</f>
        <v/>
      </c>
    </row>
    <row r="43" customFormat="false" ht="15" hidden="false" customHeight="true" outlineLevel="0" collapsed="false">
      <c r="A43" s="18" t="str">
        <f aca="false">IF($B43="","",COUNTA($B$12:$B43))</f>
        <v/>
      </c>
      <c r="B43" s="78" t="str">
        <f aca="false">IF('Master Pelanggan'!$B37="","",'Master Pelanggan'!$B37)</f>
        <v/>
      </c>
      <c r="C43" s="79" t="str">
        <f aca="false">IF($B43="","",SUMIFS('Data Piutang'!$J$8:$J$307,'Data Piutang'!$D$8:$D$307,$B43,'Data Piutang'!$M$8:$M$307,"Belum Jatuh Tempo"))</f>
        <v/>
      </c>
      <c r="D43" s="79" t="str">
        <f aca="false">IF($B43="","",SUMIFS('Data Piutang'!$J$8:$J$307,'Data Piutang'!$D$8:$D$307,$B43,'Data Piutang'!$M$8:$M$307,"1-30 hari"))</f>
        <v/>
      </c>
      <c r="E43" s="79" t="str">
        <f aca="false">IF($B43="","",SUMIFS('Data Piutang'!$J$8:$J$307,'Data Piutang'!$D$8:$D$307,$B43,'Data Piutang'!$M$8:$M$307,"31-60 hari"))</f>
        <v/>
      </c>
      <c r="F43" s="79" t="str">
        <f aca="false">IF($B43="","",SUMIFS('Data Piutang'!$J$8:$J$307,'Data Piutang'!$D$8:$D$307,$B43,'Data Piutang'!$M$8:$M$307,"61-90 hari"))</f>
        <v/>
      </c>
      <c r="G43" s="79" t="str">
        <f aca="false">IF($B43="","",SUMIFS('Data Piutang'!$J$8:$J$307,'Data Piutang'!$D$8:$D$307,$B43,'Data Piutang'!$M$8:$M$307,"Lebih dari 90 hari"))</f>
        <v/>
      </c>
      <c r="H43" s="80" t="str">
        <f aca="false">IF($B43="","",SUM($C43:$G43))</f>
        <v/>
      </c>
      <c r="I43" s="81" t="str">
        <f aca="false">IF(OR($B43="",$H$112=0),"",$H43/$H$112)</f>
        <v/>
      </c>
    </row>
    <row r="44" customFormat="false" ht="15" hidden="false" customHeight="true" outlineLevel="0" collapsed="false">
      <c r="A44" s="73" t="str">
        <f aca="false">IF($B44="","",COUNTA($B$12:$B44))</f>
        <v/>
      </c>
      <c r="B44" s="74" t="str">
        <f aca="false">IF('Master Pelanggan'!$B38="","",'Master Pelanggan'!$B38)</f>
        <v/>
      </c>
      <c r="C44" s="75" t="str">
        <f aca="false">IF($B44="","",SUMIFS('Data Piutang'!$J$8:$J$307,'Data Piutang'!$D$8:$D$307,$B44,'Data Piutang'!$M$8:$M$307,"Belum Jatuh Tempo"))</f>
        <v/>
      </c>
      <c r="D44" s="75" t="str">
        <f aca="false">IF($B44="","",SUMIFS('Data Piutang'!$J$8:$J$307,'Data Piutang'!$D$8:$D$307,$B44,'Data Piutang'!$M$8:$M$307,"1-30 hari"))</f>
        <v/>
      </c>
      <c r="E44" s="75" t="str">
        <f aca="false">IF($B44="","",SUMIFS('Data Piutang'!$J$8:$J$307,'Data Piutang'!$D$8:$D$307,$B44,'Data Piutang'!$M$8:$M$307,"31-60 hari"))</f>
        <v/>
      </c>
      <c r="F44" s="75" t="str">
        <f aca="false">IF($B44="","",SUMIFS('Data Piutang'!$J$8:$J$307,'Data Piutang'!$D$8:$D$307,$B44,'Data Piutang'!$M$8:$M$307,"61-90 hari"))</f>
        <v/>
      </c>
      <c r="G44" s="75" t="str">
        <f aca="false">IF($B44="","",SUMIFS('Data Piutang'!$J$8:$J$307,'Data Piutang'!$D$8:$D$307,$B44,'Data Piutang'!$M$8:$M$307,"Lebih dari 90 hari"))</f>
        <v/>
      </c>
      <c r="H44" s="76" t="str">
        <f aca="false">IF($B44="","",SUM($C44:$G44))</f>
        <v/>
      </c>
      <c r="I44" s="77" t="str">
        <f aca="false">IF(OR($B44="",$H$112=0),"",$H44/$H$112)</f>
        <v/>
      </c>
    </row>
    <row r="45" customFormat="false" ht="15" hidden="false" customHeight="true" outlineLevel="0" collapsed="false">
      <c r="A45" s="18" t="str">
        <f aca="false">IF($B45="","",COUNTA($B$12:$B45))</f>
        <v/>
      </c>
      <c r="B45" s="78" t="str">
        <f aca="false">IF('Master Pelanggan'!$B39="","",'Master Pelanggan'!$B39)</f>
        <v/>
      </c>
      <c r="C45" s="79" t="str">
        <f aca="false">IF($B45="","",SUMIFS('Data Piutang'!$J$8:$J$307,'Data Piutang'!$D$8:$D$307,$B45,'Data Piutang'!$M$8:$M$307,"Belum Jatuh Tempo"))</f>
        <v/>
      </c>
      <c r="D45" s="79" t="str">
        <f aca="false">IF($B45="","",SUMIFS('Data Piutang'!$J$8:$J$307,'Data Piutang'!$D$8:$D$307,$B45,'Data Piutang'!$M$8:$M$307,"1-30 hari"))</f>
        <v/>
      </c>
      <c r="E45" s="79" t="str">
        <f aca="false">IF($B45="","",SUMIFS('Data Piutang'!$J$8:$J$307,'Data Piutang'!$D$8:$D$307,$B45,'Data Piutang'!$M$8:$M$307,"31-60 hari"))</f>
        <v/>
      </c>
      <c r="F45" s="79" t="str">
        <f aca="false">IF($B45="","",SUMIFS('Data Piutang'!$J$8:$J$307,'Data Piutang'!$D$8:$D$307,$B45,'Data Piutang'!$M$8:$M$307,"61-90 hari"))</f>
        <v/>
      </c>
      <c r="G45" s="79" t="str">
        <f aca="false">IF($B45="","",SUMIFS('Data Piutang'!$J$8:$J$307,'Data Piutang'!$D$8:$D$307,$B45,'Data Piutang'!$M$8:$M$307,"Lebih dari 90 hari"))</f>
        <v/>
      </c>
      <c r="H45" s="80" t="str">
        <f aca="false">IF($B45="","",SUM($C45:$G45))</f>
        <v/>
      </c>
      <c r="I45" s="81" t="str">
        <f aca="false">IF(OR($B45="",$H$112=0),"",$H45/$H$112)</f>
        <v/>
      </c>
    </row>
    <row r="46" customFormat="false" ht="15" hidden="false" customHeight="true" outlineLevel="0" collapsed="false">
      <c r="A46" s="73" t="str">
        <f aca="false">IF($B46="","",COUNTA($B$12:$B46))</f>
        <v/>
      </c>
      <c r="B46" s="74" t="str">
        <f aca="false">IF('Master Pelanggan'!$B40="","",'Master Pelanggan'!$B40)</f>
        <v/>
      </c>
      <c r="C46" s="75" t="str">
        <f aca="false">IF($B46="","",SUMIFS('Data Piutang'!$J$8:$J$307,'Data Piutang'!$D$8:$D$307,$B46,'Data Piutang'!$M$8:$M$307,"Belum Jatuh Tempo"))</f>
        <v/>
      </c>
      <c r="D46" s="75" t="str">
        <f aca="false">IF($B46="","",SUMIFS('Data Piutang'!$J$8:$J$307,'Data Piutang'!$D$8:$D$307,$B46,'Data Piutang'!$M$8:$M$307,"1-30 hari"))</f>
        <v/>
      </c>
      <c r="E46" s="75" t="str">
        <f aca="false">IF($B46="","",SUMIFS('Data Piutang'!$J$8:$J$307,'Data Piutang'!$D$8:$D$307,$B46,'Data Piutang'!$M$8:$M$307,"31-60 hari"))</f>
        <v/>
      </c>
      <c r="F46" s="75" t="str">
        <f aca="false">IF($B46="","",SUMIFS('Data Piutang'!$J$8:$J$307,'Data Piutang'!$D$8:$D$307,$B46,'Data Piutang'!$M$8:$M$307,"61-90 hari"))</f>
        <v/>
      </c>
      <c r="G46" s="75" t="str">
        <f aca="false">IF($B46="","",SUMIFS('Data Piutang'!$J$8:$J$307,'Data Piutang'!$D$8:$D$307,$B46,'Data Piutang'!$M$8:$M$307,"Lebih dari 90 hari"))</f>
        <v/>
      </c>
      <c r="H46" s="76" t="str">
        <f aca="false">IF($B46="","",SUM($C46:$G46))</f>
        <v/>
      </c>
      <c r="I46" s="77" t="str">
        <f aca="false">IF(OR($B46="",$H$112=0),"",$H46/$H$112)</f>
        <v/>
      </c>
    </row>
    <row r="47" customFormat="false" ht="15" hidden="false" customHeight="true" outlineLevel="0" collapsed="false">
      <c r="A47" s="18" t="str">
        <f aca="false">IF($B47="","",COUNTA($B$12:$B47))</f>
        <v/>
      </c>
      <c r="B47" s="78" t="str">
        <f aca="false">IF('Master Pelanggan'!$B41="","",'Master Pelanggan'!$B41)</f>
        <v/>
      </c>
      <c r="C47" s="79" t="str">
        <f aca="false">IF($B47="","",SUMIFS('Data Piutang'!$J$8:$J$307,'Data Piutang'!$D$8:$D$307,$B47,'Data Piutang'!$M$8:$M$307,"Belum Jatuh Tempo"))</f>
        <v/>
      </c>
      <c r="D47" s="79" t="str">
        <f aca="false">IF($B47="","",SUMIFS('Data Piutang'!$J$8:$J$307,'Data Piutang'!$D$8:$D$307,$B47,'Data Piutang'!$M$8:$M$307,"1-30 hari"))</f>
        <v/>
      </c>
      <c r="E47" s="79" t="str">
        <f aca="false">IF($B47="","",SUMIFS('Data Piutang'!$J$8:$J$307,'Data Piutang'!$D$8:$D$307,$B47,'Data Piutang'!$M$8:$M$307,"31-60 hari"))</f>
        <v/>
      </c>
      <c r="F47" s="79" t="str">
        <f aca="false">IF($B47="","",SUMIFS('Data Piutang'!$J$8:$J$307,'Data Piutang'!$D$8:$D$307,$B47,'Data Piutang'!$M$8:$M$307,"61-90 hari"))</f>
        <v/>
      </c>
      <c r="G47" s="79" t="str">
        <f aca="false">IF($B47="","",SUMIFS('Data Piutang'!$J$8:$J$307,'Data Piutang'!$D$8:$D$307,$B47,'Data Piutang'!$M$8:$M$307,"Lebih dari 90 hari"))</f>
        <v/>
      </c>
      <c r="H47" s="80" t="str">
        <f aca="false">IF($B47="","",SUM($C47:$G47))</f>
        <v/>
      </c>
      <c r="I47" s="81" t="str">
        <f aca="false">IF(OR($B47="",$H$112=0),"",$H47/$H$112)</f>
        <v/>
      </c>
    </row>
    <row r="48" customFormat="false" ht="15" hidden="false" customHeight="true" outlineLevel="0" collapsed="false">
      <c r="A48" s="73" t="str">
        <f aca="false">IF($B48="","",COUNTA($B$12:$B48))</f>
        <v/>
      </c>
      <c r="B48" s="74" t="str">
        <f aca="false">IF('Master Pelanggan'!$B42="","",'Master Pelanggan'!$B42)</f>
        <v/>
      </c>
      <c r="C48" s="75" t="str">
        <f aca="false">IF($B48="","",SUMIFS('Data Piutang'!$J$8:$J$307,'Data Piutang'!$D$8:$D$307,$B48,'Data Piutang'!$M$8:$M$307,"Belum Jatuh Tempo"))</f>
        <v/>
      </c>
      <c r="D48" s="75" t="str">
        <f aca="false">IF($B48="","",SUMIFS('Data Piutang'!$J$8:$J$307,'Data Piutang'!$D$8:$D$307,$B48,'Data Piutang'!$M$8:$M$307,"1-30 hari"))</f>
        <v/>
      </c>
      <c r="E48" s="75" t="str">
        <f aca="false">IF($B48="","",SUMIFS('Data Piutang'!$J$8:$J$307,'Data Piutang'!$D$8:$D$307,$B48,'Data Piutang'!$M$8:$M$307,"31-60 hari"))</f>
        <v/>
      </c>
      <c r="F48" s="75" t="str">
        <f aca="false">IF($B48="","",SUMIFS('Data Piutang'!$J$8:$J$307,'Data Piutang'!$D$8:$D$307,$B48,'Data Piutang'!$M$8:$M$307,"61-90 hari"))</f>
        <v/>
      </c>
      <c r="G48" s="75" t="str">
        <f aca="false">IF($B48="","",SUMIFS('Data Piutang'!$J$8:$J$307,'Data Piutang'!$D$8:$D$307,$B48,'Data Piutang'!$M$8:$M$307,"Lebih dari 90 hari"))</f>
        <v/>
      </c>
      <c r="H48" s="76" t="str">
        <f aca="false">IF($B48="","",SUM($C48:$G48))</f>
        <v/>
      </c>
      <c r="I48" s="77" t="str">
        <f aca="false">IF(OR($B48="",$H$112=0),"",$H48/$H$112)</f>
        <v/>
      </c>
    </row>
    <row r="49" customFormat="false" ht="15" hidden="false" customHeight="true" outlineLevel="0" collapsed="false">
      <c r="A49" s="18" t="str">
        <f aca="false">IF($B49="","",COUNTA($B$12:$B49))</f>
        <v/>
      </c>
      <c r="B49" s="78" t="str">
        <f aca="false">IF('Master Pelanggan'!$B43="","",'Master Pelanggan'!$B43)</f>
        <v/>
      </c>
      <c r="C49" s="79" t="str">
        <f aca="false">IF($B49="","",SUMIFS('Data Piutang'!$J$8:$J$307,'Data Piutang'!$D$8:$D$307,$B49,'Data Piutang'!$M$8:$M$307,"Belum Jatuh Tempo"))</f>
        <v/>
      </c>
      <c r="D49" s="79" t="str">
        <f aca="false">IF($B49="","",SUMIFS('Data Piutang'!$J$8:$J$307,'Data Piutang'!$D$8:$D$307,$B49,'Data Piutang'!$M$8:$M$307,"1-30 hari"))</f>
        <v/>
      </c>
      <c r="E49" s="79" t="str">
        <f aca="false">IF($B49="","",SUMIFS('Data Piutang'!$J$8:$J$307,'Data Piutang'!$D$8:$D$307,$B49,'Data Piutang'!$M$8:$M$307,"31-60 hari"))</f>
        <v/>
      </c>
      <c r="F49" s="79" t="str">
        <f aca="false">IF($B49="","",SUMIFS('Data Piutang'!$J$8:$J$307,'Data Piutang'!$D$8:$D$307,$B49,'Data Piutang'!$M$8:$M$307,"61-90 hari"))</f>
        <v/>
      </c>
      <c r="G49" s="79" t="str">
        <f aca="false">IF($B49="","",SUMIFS('Data Piutang'!$J$8:$J$307,'Data Piutang'!$D$8:$D$307,$B49,'Data Piutang'!$M$8:$M$307,"Lebih dari 90 hari"))</f>
        <v/>
      </c>
      <c r="H49" s="80" t="str">
        <f aca="false">IF($B49="","",SUM($C49:$G49))</f>
        <v/>
      </c>
      <c r="I49" s="81" t="str">
        <f aca="false">IF(OR($B49="",$H$112=0),"",$H49/$H$112)</f>
        <v/>
      </c>
    </row>
    <row r="50" customFormat="false" ht="15" hidden="false" customHeight="true" outlineLevel="0" collapsed="false">
      <c r="A50" s="73" t="str">
        <f aca="false">IF($B50="","",COUNTA($B$12:$B50))</f>
        <v/>
      </c>
      <c r="B50" s="74" t="str">
        <f aca="false">IF('Master Pelanggan'!$B44="","",'Master Pelanggan'!$B44)</f>
        <v/>
      </c>
      <c r="C50" s="75" t="str">
        <f aca="false">IF($B50="","",SUMIFS('Data Piutang'!$J$8:$J$307,'Data Piutang'!$D$8:$D$307,$B50,'Data Piutang'!$M$8:$M$307,"Belum Jatuh Tempo"))</f>
        <v/>
      </c>
      <c r="D50" s="75" t="str">
        <f aca="false">IF($B50="","",SUMIFS('Data Piutang'!$J$8:$J$307,'Data Piutang'!$D$8:$D$307,$B50,'Data Piutang'!$M$8:$M$307,"1-30 hari"))</f>
        <v/>
      </c>
      <c r="E50" s="75" t="str">
        <f aca="false">IF($B50="","",SUMIFS('Data Piutang'!$J$8:$J$307,'Data Piutang'!$D$8:$D$307,$B50,'Data Piutang'!$M$8:$M$307,"31-60 hari"))</f>
        <v/>
      </c>
      <c r="F50" s="75" t="str">
        <f aca="false">IF($B50="","",SUMIFS('Data Piutang'!$J$8:$J$307,'Data Piutang'!$D$8:$D$307,$B50,'Data Piutang'!$M$8:$M$307,"61-90 hari"))</f>
        <v/>
      </c>
      <c r="G50" s="75" t="str">
        <f aca="false">IF($B50="","",SUMIFS('Data Piutang'!$J$8:$J$307,'Data Piutang'!$D$8:$D$307,$B50,'Data Piutang'!$M$8:$M$307,"Lebih dari 90 hari"))</f>
        <v/>
      </c>
      <c r="H50" s="76" t="str">
        <f aca="false">IF($B50="","",SUM($C50:$G50))</f>
        <v/>
      </c>
      <c r="I50" s="77" t="str">
        <f aca="false">IF(OR($B50="",$H$112=0),"",$H50/$H$112)</f>
        <v/>
      </c>
    </row>
    <row r="51" customFormat="false" ht="15" hidden="false" customHeight="true" outlineLevel="0" collapsed="false">
      <c r="A51" s="18" t="str">
        <f aca="false">IF($B51="","",COUNTA($B$12:$B51))</f>
        <v/>
      </c>
      <c r="B51" s="78" t="str">
        <f aca="false">IF('Master Pelanggan'!$B45="","",'Master Pelanggan'!$B45)</f>
        <v/>
      </c>
      <c r="C51" s="79" t="str">
        <f aca="false">IF($B51="","",SUMIFS('Data Piutang'!$J$8:$J$307,'Data Piutang'!$D$8:$D$307,$B51,'Data Piutang'!$M$8:$M$307,"Belum Jatuh Tempo"))</f>
        <v/>
      </c>
      <c r="D51" s="79" t="str">
        <f aca="false">IF($B51="","",SUMIFS('Data Piutang'!$J$8:$J$307,'Data Piutang'!$D$8:$D$307,$B51,'Data Piutang'!$M$8:$M$307,"1-30 hari"))</f>
        <v/>
      </c>
      <c r="E51" s="79" t="str">
        <f aca="false">IF($B51="","",SUMIFS('Data Piutang'!$J$8:$J$307,'Data Piutang'!$D$8:$D$307,$B51,'Data Piutang'!$M$8:$M$307,"31-60 hari"))</f>
        <v/>
      </c>
      <c r="F51" s="79" t="str">
        <f aca="false">IF($B51="","",SUMIFS('Data Piutang'!$J$8:$J$307,'Data Piutang'!$D$8:$D$307,$B51,'Data Piutang'!$M$8:$M$307,"61-90 hari"))</f>
        <v/>
      </c>
      <c r="G51" s="79" t="str">
        <f aca="false">IF($B51="","",SUMIFS('Data Piutang'!$J$8:$J$307,'Data Piutang'!$D$8:$D$307,$B51,'Data Piutang'!$M$8:$M$307,"Lebih dari 90 hari"))</f>
        <v/>
      </c>
      <c r="H51" s="80" t="str">
        <f aca="false">IF($B51="","",SUM($C51:$G51))</f>
        <v/>
      </c>
      <c r="I51" s="81" t="str">
        <f aca="false">IF(OR($B51="",$H$112=0),"",$H51/$H$112)</f>
        <v/>
      </c>
    </row>
    <row r="52" customFormat="false" ht="15" hidden="false" customHeight="true" outlineLevel="0" collapsed="false">
      <c r="A52" s="73" t="str">
        <f aca="false">IF($B52="","",COUNTA($B$12:$B52))</f>
        <v/>
      </c>
      <c r="B52" s="74" t="str">
        <f aca="false">IF('Master Pelanggan'!$B46="","",'Master Pelanggan'!$B46)</f>
        <v/>
      </c>
      <c r="C52" s="75" t="str">
        <f aca="false">IF($B52="","",SUMIFS('Data Piutang'!$J$8:$J$307,'Data Piutang'!$D$8:$D$307,$B52,'Data Piutang'!$M$8:$M$307,"Belum Jatuh Tempo"))</f>
        <v/>
      </c>
      <c r="D52" s="75" t="str">
        <f aca="false">IF($B52="","",SUMIFS('Data Piutang'!$J$8:$J$307,'Data Piutang'!$D$8:$D$307,$B52,'Data Piutang'!$M$8:$M$307,"1-30 hari"))</f>
        <v/>
      </c>
      <c r="E52" s="75" t="str">
        <f aca="false">IF($B52="","",SUMIFS('Data Piutang'!$J$8:$J$307,'Data Piutang'!$D$8:$D$307,$B52,'Data Piutang'!$M$8:$M$307,"31-60 hari"))</f>
        <v/>
      </c>
      <c r="F52" s="75" t="str">
        <f aca="false">IF($B52="","",SUMIFS('Data Piutang'!$J$8:$J$307,'Data Piutang'!$D$8:$D$307,$B52,'Data Piutang'!$M$8:$M$307,"61-90 hari"))</f>
        <v/>
      </c>
      <c r="G52" s="75" t="str">
        <f aca="false">IF($B52="","",SUMIFS('Data Piutang'!$J$8:$J$307,'Data Piutang'!$D$8:$D$307,$B52,'Data Piutang'!$M$8:$M$307,"Lebih dari 90 hari"))</f>
        <v/>
      </c>
      <c r="H52" s="76" t="str">
        <f aca="false">IF($B52="","",SUM($C52:$G52))</f>
        <v/>
      </c>
      <c r="I52" s="77" t="str">
        <f aca="false">IF(OR($B52="",$H$112=0),"",$H52/$H$112)</f>
        <v/>
      </c>
    </row>
    <row r="53" customFormat="false" ht="15" hidden="false" customHeight="true" outlineLevel="0" collapsed="false">
      <c r="A53" s="18" t="str">
        <f aca="false">IF($B53="","",COUNTA($B$12:$B53))</f>
        <v/>
      </c>
      <c r="B53" s="78" t="str">
        <f aca="false">IF('Master Pelanggan'!$B47="","",'Master Pelanggan'!$B47)</f>
        <v/>
      </c>
      <c r="C53" s="79" t="str">
        <f aca="false">IF($B53="","",SUMIFS('Data Piutang'!$J$8:$J$307,'Data Piutang'!$D$8:$D$307,$B53,'Data Piutang'!$M$8:$M$307,"Belum Jatuh Tempo"))</f>
        <v/>
      </c>
      <c r="D53" s="79" t="str">
        <f aca="false">IF($B53="","",SUMIFS('Data Piutang'!$J$8:$J$307,'Data Piutang'!$D$8:$D$307,$B53,'Data Piutang'!$M$8:$M$307,"1-30 hari"))</f>
        <v/>
      </c>
      <c r="E53" s="79" t="str">
        <f aca="false">IF($B53="","",SUMIFS('Data Piutang'!$J$8:$J$307,'Data Piutang'!$D$8:$D$307,$B53,'Data Piutang'!$M$8:$M$307,"31-60 hari"))</f>
        <v/>
      </c>
      <c r="F53" s="79" t="str">
        <f aca="false">IF($B53="","",SUMIFS('Data Piutang'!$J$8:$J$307,'Data Piutang'!$D$8:$D$307,$B53,'Data Piutang'!$M$8:$M$307,"61-90 hari"))</f>
        <v/>
      </c>
      <c r="G53" s="79" t="str">
        <f aca="false">IF($B53="","",SUMIFS('Data Piutang'!$J$8:$J$307,'Data Piutang'!$D$8:$D$307,$B53,'Data Piutang'!$M$8:$M$307,"Lebih dari 90 hari"))</f>
        <v/>
      </c>
      <c r="H53" s="80" t="str">
        <f aca="false">IF($B53="","",SUM($C53:$G53))</f>
        <v/>
      </c>
      <c r="I53" s="81" t="str">
        <f aca="false">IF(OR($B53="",$H$112=0),"",$H53/$H$112)</f>
        <v/>
      </c>
    </row>
    <row r="54" customFormat="false" ht="15" hidden="false" customHeight="true" outlineLevel="0" collapsed="false">
      <c r="A54" s="73" t="str">
        <f aca="false">IF($B54="","",COUNTA($B$12:$B54))</f>
        <v/>
      </c>
      <c r="B54" s="74" t="str">
        <f aca="false">IF('Master Pelanggan'!$B48="","",'Master Pelanggan'!$B48)</f>
        <v/>
      </c>
      <c r="C54" s="75" t="str">
        <f aca="false">IF($B54="","",SUMIFS('Data Piutang'!$J$8:$J$307,'Data Piutang'!$D$8:$D$307,$B54,'Data Piutang'!$M$8:$M$307,"Belum Jatuh Tempo"))</f>
        <v/>
      </c>
      <c r="D54" s="75" t="str">
        <f aca="false">IF($B54="","",SUMIFS('Data Piutang'!$J$8:$J$307,'Data Piutang'!$D$8:$D$307,$B54,'Data Piutang'!$M$8:$M$307,"1-30 hari"))</f>
        <v/>
      </c>
      <c r="E54" s="75" t="str">
        <f aca="false">IF($B54="","",SUMIFS('Data Piutang'!$J$8:$J$307,'Data Piutang'!$D$8:$D$307,$B54,'Data Piutang'!$M$8:$M$307,"31-60 hari"))</f>
        <v/>
      </c>
      <c r="F54" s="75" t="str">
        <f aca="false">IF($B54="","",SUMIFS('Data Piutang'!$J$8:$J$307,'Data Piutang'!$D$8:$D$307,$B54,'Data Piutang'!$M$8:$M$307,"61-90 hari"))</f>
        <v/>
      </c>
      <c r="G54" s="75" t="str">
        <f aca="false">IF($B54="","",SUMIFS('Data Piutang'!$J$8:$J$307,'Data Piutang'!$D$8:$D$307,$B54,'Data Piutang'!$M$8:$M$307,"Lebih dari 90 hari"))</f>
        <v/>
      </c>
      <c r="H54" s="76" t="str">
        <f aca="false">IF($B54="","",SUM($C54:$G54))</f>
        <v/>
      </c>
      <c r="I54" s="77" t="str">
        <f aca="false">IF(OR($B54="",$H$112=0),"",$H54/$H$112)</f>
        <v/>
      </c>
    </row>
    <row r="55" customFormat="false" ht="15" hidden="false" customHeight="true" outlineLevel="0" collapsed="false">
      <c r="A55" s="18" t="str">
        <f aca="false">IF($B55="","",COUNTA($B$12:$B55))</f>
        <v/>
      </c>
      <c r="B55" s="78" t="str">
        <f aca="false">IF('Master Pelanggan'!$B49="","",'Master Pelanggan'!$B49)</f>
        <v/>
      </c>
      <c r="C55" s="79" t="str">
        <f aca="false">IF($B55="","",SUMIFS('Data Piutang'!$J$8:$J$307,'Data Piutang'!$D$8:$D$307,$B55,'Data Piutang'!$M$8:$M$307,"Belum Jatuh Tempo"))</f>
        <v/>
      </c>
      <c r="D55" s="79" t="str">
        <f aca="false">IF($B55="","",SUMIFS('Data Piutang'!$J$8:$J$307,'Data Piutang'!$D$8:$D$307,$B55,'Data Piutang'!$M$8:$M$307,"1-30 hari"))</f>
        <v/>
      </c>
      <c r="E55" s="79" t="str">
        <f aca="false">IF($B55="","",SUMIFS('Data Piutang'!$J$8:$J$307,'Data Piutang'!$D$8:$D$307,$B55,'Data Piutang'!$M$8:$M$307,"31-60 hari"))</f>
        <v/>
      </c>
      <c r="F55" s="79" t="str">
        <f aca="false">IF($B55="","",SUMIFS('Data Piutang'!$J$8:$J$307,'Data Piutang'!$D$8:$D$307,$B55,'Data Piutang'!$M$8:$M$307,"61-90 hari"))</f>
        <v/>
      </c>
      <c r="G55" s="79" t="str">
        <f aca="false">IF($B55="","",SUMIFS('Data Piutang'!$J$8:$J$307,'Data Piutang'!$D$8:$D$307,$B55,'Data Piutang'!$M$8:$M$307,"Lebih dari 90 hari"))</f>
        <v/>
      </c>
      <c r="H55" s="80" t="str">
        <f aca="false">IF($B55="","",SUM($C55:$G55))</f>
        <v/>
      </c>
      <c r="I55" s="81" t="str">
        <f aca="false">IF(OR($B55="",$H$112=0),"",$H55/$H$112)</f>
        <v/>
      </c>
    </row>
    <row r="56" customFormat="false" ht="15" hidden="false" customHeight="true" outlineLevel="0" collapsed="false">
      <c r="A56" s="73" t="str">
        <f aca="false">IF($B56="","",COUNTA($B$12:$B56))</f>
        <v/>
      </c>
      <c r="B56" s="74" t="str">
        <f aca="false">IF('Master Pelanggan'!$B50="","",'Master Pelanggan'!$B50)</f>
        <v/>
      </c>
      <c r="C56" s="75" t="str">
        <f aca="false">IF($B56="","",SUMIFS('Data Piutang'!$J$8:$J$307,'Data Piutang'!$D$8:$D$307,$B56,'Data Piutang'!$M$8:$M$307,"Belum Jatuh Tempo"))</f>
        <v/>
      </c>
      <c r="D56" s="75" t="str">
        <f aca="false">IF($B56="","",SUMIFS('Data Piutang'!$J$8:$J$307,'Data Piutang'!$D$8:$D$307,$B56,'Data Piutang'!$M$8:$M$307,"1-30 hari"))</f>
        <v/>
      </c>
      <c r="E56" s="75" t="str">
        <f aca="false">IF($B56="","",SUMIFS('Data Piutang'!$J$8:$J$307,'Data Piutang'!$D$8:$D$307,$B56,'Data Piutang'!$M$8:$M$307,"31-60 hari"))</f>
        <v/>
      </c>
      <c r="F56" s="75" t="str">
        <f aca="false">IF($B56="","",SUMIFS('Data Piutang'!$J$8:$J$307,'Data Piutang'!$D$8:$D$307,$B56,'Data Piutang'!$M$8:$M$307,"61-90 hari"))</f>
        <v/>
      </c>
      <c r="G56" s="75" t="str">
        <f aca="false">IF($B56="","",SUMIFS('Data Piutang'!$J$8:$J$307,'Data Piutang'!$D$8:$D$307,$B56,'Data Piutang'!$M$8:$M$307,"Lebih dari 90 hari"))</f>
        <v/>
      </c>
      <c r="H56" s="76" t="str">
        <f aca="false">IF($B56="","",SUM($C56:$G56))</f>
        <v/>
      </c>
      <c r="I56" s="77" t="str">
        <f aca="false">IF(OR($B56="",$H$112=0),"",$H56/$H$112)</f>
        <v/>
      </c>
    </row>
    <row r="57" customFormat="false" ht="15" hidden="false" customHeight="true" outlineLevel="0" collapsed="false">
      <c r="A57" s="18" t="str">
        <f aca="false">IF($B57="","",COUNTA($B$12:$B57))</f>
        <v/>
      </c>
      <c r="B57" s="78" t="str">
        <f aca="false">IF('Master Pelanggan'!$B51="","",'Master Pelanggan'!$B51)</f>
        <v/>
      </c>
      <c r="C57" s="79" t="str">
        <f aca="false">IF($B57="","",SUMIFS('Data Piutang'!$J$8:$J$307,'Data Piutang'!$D$8:$D$307,$B57,'Data Piutang'!$M$8:$M$307,"Belum Jatuh Tempo"))</f>
        <v/>
      </c>
      <c r="D57" s="79" t="str">
        <f aca="false">IF($B57="","",SUMIFS('Data Piutang'!$J$8:$J$307,'Data Piutang'!$D$8:$D$307,$B57,'Data Piutang'!$M$8:$M$307,"1-30 hari"))</f>
        <v/>
      </c>
      <c r="E57" s="79" t="str">
        <f aca="false">IF($B57="","",SUMIFS('Data Piutang'!$J$8:$J$307,'Data Piutang'!$D$8:$D$307,$B57,'Data Piutang'!$M$8:$M$307,"31-60 hari"))</f>
        <v/>
      </c>
      <c r="F57" s="79" t="str">
        <f aca="false">IF($B57="","",SUMIFS('Data Piutang'!$J$8:$J$307,'Data Piutang'!$D$8:$D$307,$B57,'Data Piutang'!$M$8:$M$307,"61-90 hari"))</f>
        <v/>
      </c>
      <c r="G57" s="79" t="str">
        <f aca="false">IF($B57="","",SUMIFS('Data Piutang'!$J$8:$J$307,'Data Piutang'!$D$8:$D$307,$B57,'Data Piutang'!$M$8:$M$307,"Lebih dari 90 hari"))</f>
        <v/>
      </c>
      <c r="H57" s="80" t="str">
        <f aca="false">IF($B57="","",SUM($C57:$G57))</f>
        <v/>
      </c>
      <c r="I57" s="81" t="str">
        <f aca="false">IF(OR($B57="",$H$112=0),"",$H57/$H$112)</f>
        <v/>
      </c>
    </row>
    <row r="58" customFormat="false" ht="15" hidden="false" customHeight="true" outlineLevel="0" collapsed="false">
      <c r="A58" s="73" t="str">
        <f aca="false">IF($B58="","",COUNTA($B$12:$B58))</f>
        <v/>
      </c>
      <c r="B58" s="74" t="str">
        <f aca="false">IF('Master Pelanggan'!$B52="","",'Master Pelanggan'!$B52)</f>
        <v/>
      </c>
      <c r="C58" s="75" t="str">
        <f aca="false">IF($B58="","",SUMIFS('Data Piutang'!$J$8:$J$307,'Data Piutang'!$D$8:$D$307,$B58,'Data Piutang'!$M$8:$M$307,"Belum Jatuh Tempo"))</f>
        <v/>
      </c>
      <c r="D58" s="75" t="str">
        <f aca="false">IF($B58="","",SUMIFS('Data Piutang'!$J$8:$J$307,'Data Piutang'!$D$8:$D$307,$B58,'Data Piutang'!$M$8:$M$307,"1-30 hari"))</f>
        <v/>
      </c>
      <c r="E58" s="75" t="str">
        <f aca="false">IF($B58="","",SUMIFS('Data Piutang'!$J$8:$J$307,'Data Piutang'!$D$8:$D$307,$B58,'Data Piutang'!$M$8:$M$307,"31-60 hari"))</f>
        <v/>
      </c>
      <c r="F58" s="75" t="str">
        <f aca="false">IF($B58="","",SUMIFS('Data Piutang'!$J$8:$J$307,'Data Piutang'!$D$8:$D$307,$B58,'Data Piutang'!$M$8:$M$307,"61-90 hari"))</f>
        <v/>
      </c>
      <c r="G58" s="75" t="str">
        <f aca="false">IF($B58="","",SUMIFS('Data Piutang'!$J$8:$J$307,'Data Piutang'!$D$8:$D$307,$B58,'Data Piutang'!$M$8:$M$307,"Lebih dari 90 hari"))</f>
        <v/>
      </c>
      <c r="H58" s="76" t="str">
        <f aca="false">IF($B58="","",SUM($C58:$G58))</f>
        <v/>
      </c>
      <c r="I58" s="77" t="str">
        <f aca="false">IF(OR($B58="",$H$112=0),"",$H58/$H$112)</f>
        <v/>
      </c>
    </row>
    <row r="59" customFormat="false" ht="15" hidden="false" customHeight="true" outlineLevel="0" collapsed="false">
      <c r="A59" s="18" t="str">
        <f aca="false">IF($B59="","",COUNTA($B$12:$B59))</f>
        <v/>
      </c>
      <c r="B59" s="78" t="str">
        <f aca="false">IF('Master Pelanggan'!$B53="","",'Master Pelanggan'!$B53)</f>
        <v/>
      </c>
      <c r="C59" s="79" t="str">
        <f aca="false">IF($B59="","",SUMIFS('Data Piutang'!$J$8:$J$307,'Data Piutang'!$D$8:$D$307,$B59,'Data Piutang'!$M$8:$M$307,"Belum Jatuh Tempo"))</f>
        <v/>
      </c>
      <c r="D59" s="79" t="str">
        <f aca="false">IF($B59="","",SUMIFS('Data Piutang'!$J$8:$J$307,'Data Piutang'!$D$8:$D$307,$B59,'Data Piutang'!$M$8:$M$307,"1-30 hari"))</f>
        <v/>
      </c>
      <c r="E59" s="79" t="str">
        <f aca="false">IF($B59="","",SUMIFS('Data Piutang'!$J$8:$J$307,'Data Piutang'!$D$8:$D$307,$B59,'Data Piutang'!$M$8:$M$307,"31-60 hari"))</f>
        <v/>
      </c>
      <c r="F59" s="79" t="str">
        <f aca="false">IF($B59="","",SUMIFS('Data Piutang'!$J$8:$J$307,'Data Piutang'!$D$8:$D$307,$B59,'Data Piutang'!$M$8:$M$307,"61-90 hari"))</f>
        <v/>
      </c>
      <c r="G59" s="79" t="str">
        <f aca="false">IF($B59="","",SUMIFS('Data Piutang'!$J$8:$J$307,'Data Piutang'!$D$8:$D$307,$B59,'Data Piutang'!$M$8:$M$307,"Lebih dari 90 hari"))</f>
        <v/>
      </c>
      <c r="H59" s="80" t="str">
        <f aca="false">IF($B59="","",SUM($C59:$G59))</f>
        <v/>
      </c>
      <c r="I59" s="81" t="str">
        <f aca="false">IF(OR($B59="",$H$112=0),"",$H59/$H$112)</f>
        <v/>
      </c>
    </row>
    <row r="60" customFormat="false" ht="15" hidden="false" customHeight="true" outlineLevel="0" collapsed="false">
      <c r="A60" s="73" t="str">
        <f aca="false">IF($B60="","",COUNTA($B$12:$B60))</f>
        <v/>
      </c>
      <c r="B60" s="74" t="str">
        <f aca="false">IF('Master Pelanggan'!$B54="","",'Master Pelanggan'!$B54)</f>
        <v/>
      </c>
      <c r="C60" s="75" t="str">
        <f aca="false">IF($B60="","",SUMIFS('Data Piutang'!$J$8:$J$307,'Data Piutang'!$D$8:$D$307,$B60,'Data Piutang'!$M$8:$M$307,"Belum Jatuh Tempo"))</f>
        <v/>
      </c>
      <c r="D60" s="75" t="str">
        <f aca="false">IF($B60="","",SUMIFS('Data Piutang'!$J$8:$J$307,'Data Piutang'!$D$8:$D$307,$B60,'Data Piutang'!$M$8:$M$307,"1-30 hari"))</f>
        <v/>
      </c>
      <c r="E60" s="75" t="str">
        <f aca="false">IF($B60="","",SUMIFS('Data Piutang'!$J$8:$J$307,'Data Piutang'!$D$8:$D$307,$B60,'Data Piutang'!$M$8:$M$307,"31-60 hari"))</f>
        <v/>
      </c>
      <c r="F60" s="75" t="str">
        <f aca="false">IF($B60="","",SUMIFS('Data Piutang'!$J$8:$J$307,'Data Piutang'!$D$8:$D$307,$B60,'Data Piutang'!$M$8:$M$307,"61-90 hari"))</f>
        <v/>
      </c>
      <c r="G60" s="75" t="str">
        <f aca="false">IF($B60="","",SUMIFS('Data Piutang'!$J$8:$J$307,'Data Piutang'!$D$8:$D$307,$B60,'Data Piutang'!$M$8:$M$307,"Lebih dari 90 hari"))</f>
        <v/>
      </c>
      <c r="H60" s="76" t="str">
        <f aca="false">IF($B60="","",SUM($C60:$G60))</f>
        <v/>
      </c>
      <c r="I60" s="77" t="str">
        <f aca="false">IF(OR($B60="",$H$112=0),"",$H60/$H$112)</f>
        <v/>
      </c>
    </row>
    <row r="61" customFormat="false" ht="15" hidden="false" customHeight="true" outlineLevel="0" collapsed="false">
      <c r="A61" s="18" t="str">
        <f aca="false">IF($B61="","",COUNTA($B$12:$B61))</f>
        <v/>
      </c>
      <c r="B61" s="78" t="str">
        <f aca="false">IF('Master Pelanggan'!$B55="","",'Master Pelanggan'!$B55)</f>
        <v/>
      </c>
      <c r="C61" s="79" t="str">
        <f aca="false">IF($B61="","",SUMIFS('Data Piutang'!$J$8:$J$307,'Data Piutang'!$D$8:$D$307,$B61,'Data Piutang'!$M$8:$M$307,"Belum Jatuh Tempo"))</f>
        <v/>
      </c>
      <c r="D61" s="79" t="str">
        <f aca="false">IF($B61="","",SUMIFS('Data Piutang'!$J$8:$J$307,'Data Piutang'!$D$8:$D$307,$B61,'Data Piutang'!$M$8:$M$307,"1-30 hari"))</f>
        <v/>
      </c>
      <c r="E61" s="79" t="str">
        <f aca="false">IF($B61="","",SUMIFS('Data Piutang'!$J$8:$J$307,'Data Piutang'!$D$8:$D$307,$B61,'Data Piutang'!$M$8:$M$307,"31-60 hari"))</f>
        <v/>
      </c>
      <c r="F61" s="79" t="str">
        <f aca="false">IF($B61="","",SUMIFS('Data Piutang'!$J$8:$J$307,'Data Piutang'!$D$8:$D$307,$B61,'Data Piutang'!$M$8:$M$307,"61-90 hari"))</f>
        <v/>
      </c>
      <c r="G61" s="79" t="str">
        <f aca="false">IF($B61="","",SUMIFS('Data Piutang'!$J$8:$J$307,'Data Piutang'!$D$8:$D$307,$B61,'Data Piutang'!$M$8:$M$307,"Lebih dari 90 hari"))</f>
        <v/>
      </c>
      <c r="H61" s="80" t="str">
        <f aca="false">IF($B61="","",SUM($C61:$G61))</f>
        <v/>
      </c>
      <c r="I61" s="81" t="str">
        <f aca="false">IF(OR($B61="",$H$112=0),"",$H61/$H$112)</f>
        <v/>
      </c>
    </row>
    <row r="62" customFormat="false" ht="15" hidden="false" customHeight="true" outlineLevel="0" collapsed="false">
      <c r="A62" s="73" t="str">
        <f aca="false">IF($B62="","",COUNTA($B$12:$B62))</f>
        <v/>
      </c>
      <c r="B62" s="74" t="str">
        <f aca="false">IF('Master Pelanggan'!$B56="","",'Master Pelanggan'!$B56)</f>
        <v/>
      </c>
      <c r="C62" s="75" t="str">
        <f aca="false">IF($B62="","",SUMIFS('Data Piutang'!$J$8:$J$307,'Data Piutang'!$D$8:$D$307,$B62,'Data Piutang'!$M$8:$M$307,"Belum Jatuh Tempo"))</f>
        <v/>
      </c>
      <c r="D62" s="75" t="str">
        <f aca="false">IF($B62="","",SUMIFS('Data Piutang'!$J$8:$J$307,'Data Piutang'!$D$8:$D$307,$B62,'Data Piutang'!$M$8:$M$307,"1-30 hari"))</f>
        <v/>
      </c>
      <c r="E62" s="75" t="str">
        <f aca="false">IF($B62="","",SUMIFS('Data Piutang'!$J$8:$J$307,'Data Piutang'!$D$8:$D$307,$B62,'Data Piutang'!$M$8:$M$307,"31-60 hari"))</f>
        <v/>
      </c>
      <c r="F62" s="75" t="str">
        <f aca="false">IF($B62="","",SUMIFS('Data Piutang'!$J$8:$J$307,'Data Piutang'!$D$8:$D$307,$B62,'Data Piutang'!$M$8:$M$307,"61-90 hari"))</f>
        <v/>
      </c>
      <c r="G62" s="75" t="str">
        <f aca="false">IF($B62="","",SUMIFS('Data Piutang'!$J$8:$J$307,'Data Piutang'!$D$8:$D$307,$B62,'Data Piutang'!$M$8:$M$307,"Lebih dari 90 hari"))</f>
        <v/>
      </c>
      <c r="H62" s="76" t="str">
        <f aca="false">IF($B62="","",SUM($C62:$G62))</f>
        <v/>
      </c>
      <c r="I62" s="77" t="str">
        <f aca="false">IF(OR($B62="",$H$112=0),"",$H62/$H$112)</f>
        <v/>
      </c>
    </row>
    <row r="63" customFormat="false" ht="15" hidden="false" customHeight="true" outlineLevel="0" collapsed="false">
      <c r="A63" s="18" t="str">
        <f aca="false">IF($B63="","",COUNTA($B$12:$B63))</f>
        <v/>
      </c>
      <c r="B63" s="78" t="str">
        <f aca="false">IF('Master Pelanggan'!$B57="","",'Master Pelanggan'!$B57)</f>
        <v/>
      </c>
      <c r="C63" s="79" t="str">
        <f aca="false">IF($B63="","",SUMIFS('Data Piutang'!$J$8:$J$307,'Data Piutang'!$D$8:$D$307,$B63,'Data Piutang'!$M$8:$M$307,"Belum Jatuh Tempo"))</f>
        <v/>
      </c>
      <c r="D63" s="79" t="str">
        <f aca="false">IF($B63="","",SUMIFS('Data Piutang'!$J$8:$J$307,'Data Piutang'!$D$8:$D$307,$B63,'Data Piutang'!$M$8:$M$307,"1-30 hari"))</f>
        <v/>
      </c>
      <c r="E63" s="79" t="str">
        <f aca="false">IF($B63="","",SUMIFS('Data Piutang'!$J$8:$J$307,'Data Piutang'!$D$8:$D$307,$B63,'Data Piutang'!$M$8:$M$307,"31-60 hari"))</f>
        <v/>
      </c>
      <c r="F63" s="79" t="str">
        <f aca="false">IF($B63="","",SUMIFS('Data Piutang'!$J$8:$J$307,'Data Piutang'!$D$8:$D$307,$B63,'Data Piutang'!$M$8:$M$307,"61-90 hari"))</f>
        <v/>
      </c>
      <c r="G63" s="79" t="str">
        <f aca="false">IF($B63="","",SUMIFS('Data Piutang'!$J$8:$J$307,'Data Piutang'!$D$8:$D$307,$B63,'Data Piutang'!$M$8:$M$307,"Lebih dari 90 hari"))</f>
        <v/>
      </c>
      <c r="H63" s="80" t="str">
        <f aca="false">IF($B63="","",SUM($C63:$G63))</f>
        <v/>
      </c>
      <c r="I63" s="81" t="str">
        <f aca="false">IF(OR($B63="",$H$112=0),"",$H63/$H$112)</f>
        <v/>
      </c>
    </row>
    <row r="64" customFormat="false" ht="15" hidden="false" customHeight="true" outlineLevel="0" collapsed="false">
      <c r="A64" s="73" t="str">
        <f aca="false">IF($B64="","",COUNTA($B$12:$B64))</f>
        <v/>
      </c>
      <c r="B64" s="74" t="str">
        <f aca="false">IF('Master Pelanggan'!$B58="","",'Master Pelanggan'!$B58)</f>
        <v/>
      </c>
      <c r="C64" s="75" t="str">
        <f aca="false">IF($B64="","",SUMIFS('Data Piutang'!$J$8:$J$307,'Data Piutang'!$D$8:$D$307,$B64,'Data Piutang'!$M$8:$M$307,"Belum Jatuh Tempo"))</f>
        <v/>
      </c>
      <c r="D64" s="75" t="str">
        <f aca="false">IF($B64="","",SUMIFS('Data Piutang'!$J$8:$J$307,'Data Piutang'!$D$8:$D$307,$B64,'Data Piutang'!$M$8:$M$307,"1-30 hari"))</f>
        <v/>
      </c>
      <c r="E64" s="75" t="str">
        <f aca="false">IF($B64="","",SUMIFS('Data Piutang'!$J$8:$J$307,'Data Piutang'!$D$8:$D$307,$B64,'Data Piutang'!$M$8:$M$307,"31-60 hari"))</f>
        <v/>
      </c>
      <c r="F64" s="75" t="str">
        <f aca="false">IF($B64="","",SUMIFS('Data Piutang'!$J$8:$J$307,'Data Piutang'!$D$8:$D$307,$B64,'Data Piutang'!$M$8:$M$307,"61-90 hari"))</f>
        <v/>
      </c>
      <c r="G64" s="75" t="str">
        <f aca="false">IF($B64="","",SUMIFS('Data Piutang'!$J$8:$J$307,'Data Piutang'!$D$8:$D$307,$B64,'Data Piutang'!$M$8:$M$307,"Lebih dari 90 hari"))</f>
        <v/>
      </c>
      <c r="H64" s="76" t="str">
        <f aca="false">IF($B64="","",SUM($C64:$G64))</f>
        <v/>
      </c>
      <c r="I64" s="77" t="str">
        <f aca="false">IF(OR($B64="",$H$112=0),"",$H64/$H$112)</f>
        <v/>
      </c>
    </row>
    <row r="65" customFormat="false" ht="15" hidden="false" customHeight="true" outlineLevel="0" collapsed="false">
      <c r="A65" s="18" t="str">
        <f aca="false">IF($B65="","",COUNTA($B$12:$B65))</f>
        <v/>
      </c>
      <c r="B65" s="78" t="str">
        <f aca="false">IF('Master Pelanggan'!$B59="","",'Master Pelanggan'!$B59)</f>
        <v/>
      </c>
      <c r="C65" s="79" t="str">
        <f aca="false">IF($B65="","",SUMIFS('Data Piutang'!$J$8:$J$307,'Data Piutang'!$D$8:$D$307,$B65,'Data Piutang'!$M$8:$M$307,"Belum Jatuh Tempo"))</f>
        <v/>
      </c>
      <c r="D65" s="79" t="str">
        <f aca="false">IF($B65="","",SUMIFS('Data Piutang'!$J$8:$J$307,'Data Piutang'!$D$8:$D$307,$B65,'Data Piutang'!$M$8:$M$307,"1-30 hari"))</f>
        <v/>
      </c>
      <c r="E65" s="79" t="str">
        <f aca="false">IF($B65="","",SUMIFS('Data Piutang'!$J$8:$J$307,'Data Piutang'!$D$8:$D$307,$B65,'Data Piutang'!$M$8:$M$307,"31-60 hari"))</f>
        <v/>
      </c>
      <c r="F65" s="79" t="str">
        <f aca="false">IF($B65="","",SUMIFS('Data Piutang'!$J$8:$J$307,'Data Piutang'!$D$8:$D$307,$B65,'Data Piutang'!$M$8:$M$307,"61-90 hari"))</f>
        <v/>
      </c>
      <c r="G65" s="79" t="str">
        <f aca="false">IF($B65="","",SUMIFS('Data Piutang'!$J$8:$J$307,'Data Piutang'!$D$8:$D$307,$B65,'Data Piutang'!$M$8:$M$307,"Lebih dari 90 hari"))</f>
        <v/>
      </c>
      <c r="H65" s="80" t="str">
        <f aca="false">IF($B65="","",SUM($C65:$G65))</f>
        <v/>
      </c>
      <c r="I65" s="81" t="str">
        <f aca="false">IF(OR($B65="",$H$112=0),"",$H65/$H$112)</f>
        <v/>
      </c>
    </row>
    <row r="66" customFormat="false" ht="15" hidden="false" customHeight="true" outlineLevel="0" collapsed="false">
      <c r="A66" s="73" t="str">
        <f aca="false">IF($B66="","",COUNTA($B$12:$B66))</f>
        <v/>
      </c>
      <c r="B66" s="74" t="str">
        <f aca="false">IF('Master Pelanggan'!$B60="","",'Master Pelanggan'!$B60)</f>
        <v/>
      </c>
      <c r="C66" s="75" t="str">
        <f aca="false">IF($B66="","",SUMIFS('Data Piutang'!$J$8:$J$307,'Data Piutang'!$D$8:$D$307,$B66,'Data Piutang'!$M$8:$M$307,"Belum Jatuh Tempo"))</f>
        <v/>
      </c>
      <c r="D66" s="75" t="str">
        <f aca="false">IF($B66="","",SUMIFS('Data Piutang'!$J$8:$J$307,'Data Piutang'!$D$8:$D$307,$B66,'Data Piutang'!$M$8:$M$307,"1-30 hari"))</f>
        <v/>
      </c>
      <c r="E66" s="75" t="str">
        <f aca="false">IF($B66="","",SUMIFS('Data Piutang'!$J$8:$J$307,'Data Piutang'!$D$8:$D$307,$B66,'Data Piutang'!$M$8:$M$307,"31-60 hari"))</f>
        <v/>
      </c>
      <c r="F66" s="75" t="str">
        <f aca="false">IF($B66="","",SUMIFS('Data Piutang'!$J$8:$J$307,'Data Piutang'!$D$8:$D$307,$B66,'Data Piutang'!$M$8:$M$307,"61-90 hari"))</f>
        <v/>
      </c>
      <c r="G66" s="75" t="str">
        <f aca="false">IF($B66="","",SUMIFS('Data Piutang'!$J$8:$J$307,'Data Piutang'!$D$8:$D$307,$B66,'Data Piutang'!$M$8:$M$307,"Lebih dari 90 hari"))</f>
        <v/>
      </c>
      <c r="H66" s="76" t="str">
        <f aca="false">IF($B66="","",SUM($C66:$G66))</f>
        <v/>
      </c>
      <c r="I66" s="77" t="str">
        <f aca="false">IF(OR($B66="",$H$112=0),"",$H66/$H$112)</f>
        <v/>
      </c>
    </row>
    <row r="67" customFormat="false" ht="15" hidden="false" customHeight="true" outlineLevel="0" collapsed="false">
      <c r="A67" s="18" t="str">
        <f aca="false">IF($B67="","",COUNTA($B$12:$B67))</f>
        <v/>
      </c>
      <c r="B67" s="78" t="str">
        <f aca="false">IF('Master Pelanggan'!$B61="","",'Master Pelanggan'!$B61)</f>
        <v/>
      </c>
      <c r="C67" s="79" t="str">
        <f aca="false">IF($B67="","",SUMIFS('Data Piutang'!$J$8:$J$307,'Data Piutang'!$D$8:$D$307,$B67,'Data Piutang'!$M$8:$M$307,"Belum Jatuh Tempo"))</f>
        <v/>
      </c>
      <c r="D67" s="79" t="str">
        <f aca="false">IF($B67="","",SUMIFS('Data Piutang'!$J$8:$J$307,'Data Piutang'!$D$8:$D$307,$B67,'Data Piutang'!$M$8:$M$307,"1-30 hari"))</f>
        <v/>
      </c>
      <c r="E67" s="79" t="str">
        <f aca="false">IF($B67="","",SUMIFS('Data Piutang'!$J$8:$J$307,'Data Piutang'!$D$8:$D$307,$B67,'Data Piutang'!$M$8:$M$307,"31-60 hari"))</f>
        <v/>
      </c>
      <c r="F67" s="79" t="str">
        <f aca="false">IF($B67="","",SUMIFS('Data Piutang'!$J$8:$J$307,'Data Piutang'!$D$8:$D$307,$B67,'Data Piutang'!$M$8:$M$307,"61-90 hari"))</f>
        <v/>
      </c>
      <c r="G67" s="79" t="str">
        <f aca="false">IF($B67="","",SUMIFS('Data Piutang'!$J$8:$J$307,'Data Piutang'!$D$8:$D$307,$B67,'Data Piutang'!$M$8:$M$307,"Lebih dari 90 hari"))</f>
        <v/>
      </c>
      <c r="H67" s="80" t="str">
        <f aca="false">IF($B67="","",SUM($C67:$G67))</f>
        <v/>
      </c>
      <c r="I67" s="81" t="str">
        <f aca="false">IF(OR($B67="",$H$112=0),"",$H67/$H$112)</f>
        <v/>
      </c>
    </row>
    <row r="68" customFormat="false" ht="15" hidden="false" customHeight="true" outlineLevel="0" collapsed="false">
      <c r="A68" s="73" t="str">
        <f aca="false">IF($B68="","",COUNTA($B$12:$B68))</f>
        <v/>
      </c>
      <c r="B68" s="74" t="str">
        <f aca="false">IF('Master Pelanggan'!$B62="","",'Master Pelanggan'!$B62)</f>
        <v/>
      </c>
      <c r="C68" s="75" t="str">
        <f aca="false">IF($B68="","",SUMIFS('Data Piutang'!$J$8:$J$307,'Data Piutang'!$D$8:$D$307,$B68,'Data Piutang'!$M$8:$M$307,"Belum Jatuh Tempo"))</f>
        <v/>
      </c>
      <c r="D68" s="75" t="str">
        <f aca="false">IF($B68="","",SUMIFS('Data Piutang'!$J$8:$J$307,'Data Piutang'!$D$8:$D$307,$B68,'Data Piutang'!$M$8:$M$307,"1-30 hari"))</f>
        <v/>
      </c>
      <c r="E68" s="75" t="str">
        <f aca="false">IF($B68="","",SUMIFS('Data Piutang'!$J$8:$J$307,'Data Piutang'!$D$8:$D$307,$B68,'Data Piutang'!$M$8:$M$307,"31-60 hari"))</f>
        <v/>
      </c>
      <c r="F68" s="75" t="str">
        <f aca="false">IF($B68="","",SUMIFS('Data Piutang'!$J$8:$J$307,'Data Piutang'!$D$8:$D$307,$B68,'Data Piutang'!$M$8:$M$307,"61-90 hari"))</f>
        <v/>
      </c>
      <c r="G68" s="75" t="str">
        <f aca="false">IF($B68="","",SUMIFS('Data Piutang'!$J$8:$J$307,'Data Piutang'!$D$8:$D$307,$B68,'Data Piutang'!$M$8:$M$307,"Lebih dari 90 hari"))</f>
        <v/>
      </c>
      <c r="H68" s="76" t="str">
        <f aca="false">IF($B68="","",SUM($C68:$G68))</f>
        <v/>
      </c>
      <c r="I68" s="77" t="str">
        <f aca="false">IF(OR($B68="",$H$112=0),"",$H68/$H$112)</f>
        <v/>
      </c>
    </row>
    <row r="69" customFormat="false" ht="15" hidden="false" customHeight="true" outlineLevel="0" collapsed="false">
      <c r="A69" s="18" t="str">
        <f aca="false">IF($B69="","",COUNTA($B$12:$B69))</f>
        <v/>
      </c>
      <c r="B69" s="78" t="str">
        <f aca="false">IF('Master Pelanggan'!$B63="","",'Master Pelanggan'!$B63)</f>
        <v/>
      </c>
      <c r="C69" s="79" t="str">
        <f aca="false">IF($B69="","",SUMIFS('Data Piutang'!$J$8:$J$307,'Data Piutang'!$D$8:$D$307,$B69,'Data Piutang'!$M$8:$M$307,"Belum Jatuh Tempo"))</f>
        <v/>
      </c>
      <c r="D69" s="79" t="str">
        <f aca="false">IF($B69="","",SUMIFS('Data Piutang'!$J$8:$J$307,'Data Piutang'!$D$8:$D$307,$B69,'Data Piutang'!$M$8:$M$307,"1-30 hari"))</f>
        <v/>
      </c>
      <c r="E69" s="79" t="str">
        <f aca="false">IF($B69="","",SUMIFS('Data Piutang'!$J$8:$J$307,'Data Piutang'!$D$8:$D$307,$B69,'Data Piutang'!$M$8:$M$307,"31-60 hari"))</f>
        <v/>
      </c>
      <c r="F69" s="79" t="str">
        <f aca="false">IF($B69="","",SUMIFS('Data Piutang'!$J$8:$J$307,'Data Piutang'!$D$8:$D$307,$B69,'Data Piutang'!$M$8:$M$307,"61-90 hari"))</f>
        <v/>
      </c>
      <c r="G69" s="79" t="str">
        <f aca="false">IF($B69="","",SUMIFS('Data Piutang'!$J$8:$J$307,'Data Piutang'!$D$8:$D$307,$B69,'Data Piutang'!$M$8:$M$307,"Lebih dari 90 hari"))</f>
        <v/>
      </c>
      <c r="H69" s="80" t="str">
        <f aca="false">IF($B69="","",SUM($C69:$G69))</f>
        <v/>
      </c>
      <c r="I69" s="81" t="str">
        <f aca="false">IF(OR($B69="",$H$112=0),"",$H69/$H$112)</f>
        <v/>
      </c>
    </row>
    <row r="70" customFormat="false" ht="15" hidden="false" customHeight="true" outlineLevel="0" collapsed="false">
      <c r="A70" s="73" t="str">
        <f aca="false">IF($B70="","",COUNTA($B$12:$B70))</f>
        <v/>
      </c>
      <c r="B70" s="74" t="str">
        <f aca="false">IF('Master Pelanggan'!$B64="","",'Master Pelanggan'!$B64)</f>
        <v/>
      </c>
      <c r="C70" s="75" t="str">
        <f aca="false">IF($B70="","",SUMIFS('Data Piutang'!$J$8:$J$307,'Data Piutang'!$D$8:$D$307,$B70,'Data Piutang'!$M$8:$M$307,"Belum Jatuh Tempo"))</f>
        <v/>
      </c>
      <c r="D70" s="75" t="str">
        <f aca="false">IF($B70="","",SUMIFS('Data Piutang'!$J$8:$J$307,'Data Piutang'!$D$8:$D$307,$B70,'Data Piutang'!$M$8:$M$307,"1-30 hari"))</f>
        <v/>
      </c>
      <c r="E70" s="75" t="str">
        <f aca="false">IF($B70="","",SUMIFS('Data Piutang'!$J$8:$J$307,'Data Piutang'!$D$8:$D$307,$B70,'Data Piutang'!$M$8:$M$307,"31-60 hari"))</f>
        <v/>
      </c>
      <c r="F70" s="75" t="str">
        <f aca="false">IF($B70="","",SUMIFS('Data Piutang'!$J$8:$J$307,'Data Piutang'!$D$8:$D$307,$B70,'Data Piutang'!$M$8:$M$307,"61-90 hari"))</f>
        <v/>
      </c>
      <c r="G70" s="75" t="str">
        <f aca="false">IF($B70="","",SUMIFS('Data Piutang'!$J$8:$J$307,'Data Piutang'!$D$8:$D$307,$B70,'Data Piutang'!$M$8:$M$307,"Lebih dari 90 hari"))</f>
        <v/>
      </c>
      <c r="H70" s="76" t="str">
        <f aca="false">IF($B70="","",SUM($C70:$G70))</f>
        <v/>
      </c>
      <c r="I70" s="77" t="str">
        <f aca="false">IF(OR($B70="",$H$112=0),"",$H70/$H$112)</f>
        <v/>
      </c>
    </row>
    <row r="71" customFormat="false" ht="15" hidden="false" customHeight="true" outlineLevel="0" collapsed="false">
      <c r="A71" s="18" t="str">
        <f aca="false">IF($B71="","",COUNTA($B$12:$B71))</f>
        <v/>
      </c>
      <c r="B71" s="78" t="str">
        <f aca="false">IF('Master Pelanggan'!$B65="","",'Master Pelanggan'!$B65)</f>
        <v/>
      </c>
      <c r="C71" s="79" t="str">
        <f aca="false">IF($B71="","",SUMIFS('Data Piutang'!$J$8:$J$307,'Data Piutang'!$D$8:$D$307,$B71,'Data Piutang'!$M$8:$M$307,"Belum Jatuh Tempo"))</f>
        <v/>
      </c>
      <c r="D71" s="79" t="str">
        <f aca="false">IF($B71="","",SUMIFS('Data Piutang'!$J$8:$J$307,'Data Piutang'!$D$8:$D$307,$B71,'Data Piutang'!$M$8:$M$307,"1-30 hari"))</f>
        <v/>
      </c>
      <c r="E71" s="79" t="str">
        <f aca="false">IF($B71="","",SUMIFS('Data Piutang'!$J$8:$J$307,'Data Piutang'!$D$8:$D$307,$B71,'Data Piutang'!$M$8:$M$307,"31-60 hari"))</f>
        <v/>
      </c>
      <c r="F71" s="79" t="str">
        <f aca="false">IF($B71="","",SUMIFS('Data Piutang'!$J$8:$J$307,'Data Piutang'!$D$8:$D$307,$B71,'Data Piutang'!$M$8:$M$307,"61-90 hari"))</f>
        <v/>
      </c>
      <c r="G71" s="79" t="str">
        <f aca="false">IF($B71="","",SUMIFS('Data Piutang'!$J$8:$J$307,'Data Piutang'!$D$8:$D$307,$B71,'Data Piutang'!$M$8:$M$307,"Lebih dari 90 hari"))</f>
        <v/>
      </c>
      <c r="H71" s="80" t="str">
        <f aca="false">IF($B71="","",SUM($C71:$G71))</f>
        <v/>
      </c>
      <c r="I71" s="81" t="str">
        <f aca="false">IF(OR($B71="",$H$112=0),"",$H71/$H$112)</f>
        <v/>
      </c>
    </row>
    <row r="72" customFormat="false" ht="15" hidden="false" customHeight="true" outlineLevel="0" collapsed="false">
      <c r="A72" s="73" t="str">
        <f aca="false">IF($B72="","",COUNTA($B$12:$B72))</f>
        <v/>
      </c>
      <c r="B72" s="74" t="str">
        <f aca="false">IF('Master Pelanggan'!$B66="","",'Master Pelanggan'!$B66)</f>
        <v/>
      </c>
      <c r="C72" s="75" t="str">
        <f aca="false">IF($B72="","",SUMIFS('Data Piutang'!$J$8:$J$307,'Data Piutang'!$D$8:$D$307,$B72,'Data Piutang'!$M$8:$M$307,"Belum Jatuh Tempo"))</f>
        <v/>
      </c>
      <c r="D72" s="75" t="str">
        <f aca="false">IF($B72="","",SUMIFS('Data Piutang'!$J$8:$J$307,'Data Piutang'!$D$8:$D$307,$B72,'Data Piutang'!$M$8:$M$307,"1-30 hari"))</f>
        <v/>
      </c>
      <c r="E72" s="75" t="str">
        <f aca="false">IF($B72="","",SUMIFS('Data Piutang'!$J$8:$J$307,'Data Piutang'!$D$8:$D$307,$B72,'Data Piutang'!$M$8:$M$307,"31-60 hari"))</f>
        <v/>
      </c>
      <c r="F72" s="75" t="str">
        <f aca="false">IF($B72="","",SUMIFS('Data Piutang'!$J$8:$J$307,'Data Piutang'!$D$8:$D$307,$B72,'Data Piutang'!$M$8:$M$307,"61-90 hari"))</f>
        <v/>
      </c>
      <c r="G72" s="75" t="str">
        <f aca="false">IF($B72="","",SUMIFS('Data Piutang'!$J$8:$J$307,'Data Piutang'!$D$8:$D$307,$B72,'Data Piutang'!$M$8:$M$307,"Lebih dari 90 hari"))</f>
        <v/>
      </c>
      <c r="H72" s="76" t="str">
        <f aca="false">IF($B72="","",SUM($C72:$G72))</f>
        <v/>
      </c>
      <c r="I72" s="77" t="str">
        <f aca="false">IF(OR($B72="",$H$112=0),"",$H72/$H$112)</f>
        <v/>
      </c>
    </row>
    <row r="73" customFormat="false" ht="15" hidden="false" customHeight="true" outlineLevel="0" collapsed="false">
      <c r="A73" s="18" t="str">
        <f aca="false">IF($B73="","",COUNTA($B$12:$B73))</f>
        <v/>
      </c>
      <c r="B73" s="78" t="str">
        <f aca="false">IF('Master Pelanggan'!$B67="","",'Master Pelanggan'!$B67)</f>
        <v/>
      </c>
      <c r="C73" s="79" t="str">
        <f aca="false">IF($B73="","",SUMIFS('Data Piutang'!$J$8:$J$307,'Data Piutang'!$D$8:$D$307,$B73,'Data Piutang'!$M$8:$M$307,"Belum Jatuh Tempo"))</f>
        <v/>
      </c>
      <c r="D73" s="79" t="str">
        <f aca="false">IF($B73="","",SUMIFS('Data Piutang'!$J$8:$J$307,'Data Piutang'!$D$8:$D$307,$B73,'Data Piutang'!$M$8:$M$307,"1-30 hari"))</f>
        <v/>
      </c>
      <c r="E73" s="79" t="str">
        <f aca="false">IF($B73="","",SUMIFS('Data Piutang'!$J$8:$J$307,'Data Piutang'!$D$8:$D$307,$B73,'Data Piutang'!$M$8:$M$307,"31-60 hari"))</f>
        <v/>
      </c>
      <c r="F73" s="79" t="str">
        <f aca="false">IF($B73="","",SUMIFS('Data Piutang'!$J$8:$J$307,'Data Piutang'!$D$8:$D$307,$B73,'Data Piutang'!$M$8:$M$307,"61-90 hari"))</f>
        <v/>
      </c>
      <c r="G73" s="79" t="str">
        <f aca="false">IF($B73="","",SUMIFS('Data Piutang'!$J$8:$J$307,'Data Piutang'!$D$8:$D$307,$B73,'Data Piutang'!$M$8:$M$307,"Lebih dari 90 hari"))</f>
        <v/>
      </c>
      <c r="H73" s="80" t="str">
        <f aca="false">IF($B73="","",SUM($C73:$G73))</f>
        <v/>
      </c>
      <c r="I73" s="81" t="str">
        <f aca="false">IF(OR($B73="",$H$112=0),"",$H73/$H$112)</f>
        <v/>
      </c>
    </row>
    <row r="74" customFormat="false" ht="15" hidden="false" customHeight="true" outlineLevel="0" collapsed="false">
      <c r="A74" s="73" t="str">
        <f aca="false">IF($B74="","",COUNTA($B$12:$B74))</f>
        <v/>
      </c>
      <c r="B74" s="74" t="str">
        <f aca="false">IF('Master Pelanggan'!$B68="","",'Master Pelanggan'!$B68)</f>
        <v/>
      </c>
      <c r="C74" s="75" t="str">
        <f aca="false">IF($B74="","",SUMIFS('Data Piutang'!$J$8:$J$307,'Data Piutang'!$D$8:$D$307,$B74,'Data Piutang'!$M$8:$M$307,"Belum Jatuh Tempo"))</f>
        <v/>
      </c>
      <c r="D74" s="75" t="str">
        <f aca="false">IF($B74="","",SUMIFS('Data Piutang'!$J$8:$J$307,'Data Piutang'!$D$8:$D$307,$B74,'Data Piutang'!$M$8:$M$307,"1-30 hari"))</f>
        <v/>
      </c>
      <c r="E74" s="75" t="str">
        <f aca="false">IF($B74="","",SUMIFS('Data Piutang'!$J$8:$J$307,'Data Piutang'!$D$8:$D$307,$B74,'Data Piutang'!$M$8:$M$307,"31-60 hari"))</f>
        <v/>
      </c>
      <c r="F74" s="75" t="str">
        <f aca="false">IF($B74="","",SUMIFS('Data Piutang'!$J$8:$J$307,'Data Piutang'!$D$8:$D$307,$B74,'Data Piutang'!$M$8:$M$307,"61-90 hari"))</f>
        <v/>
      </c>
      <c r="G74" s="75" t="str">
        <f aca="false">IF($B74="","",SUMIFS('Data Piutang'!$J$8:$J$307,'Data Piutang'!$D$8:$D$307,$B74,'Data Piutang'!$M$8:$M$307,"Lebih dari 90 hari"))</f>
        <v/>
      </c>
      <c r="H74" s="76" t="str">
        <f aca="false">IF($B74="","",SUM($C74:$G74))</f>
        <v/>
      </c>
      <c r="I74" s="77" t="str">
        <f aca="false">IF(OR($B74="",$H$112=0),"",$H74/$H$112)</f>
        <v/>
      </c>
    </row>
    <row r="75" customFormat="false" ht="15" hidden="false" customHeight="true" outlineLevel="0" collapsed="false">
      <c r="A75" s="18" t="str">
        <f aca="false">IF($B75="","",COUNTA($B$12:$B75))</f>
        <v/>
      </c>
      <c r="B75" s="78" t="str">
        <f aca="false">IF('Master Pelanggan'!$B69="","",'Master Pelanggan'!$B69)</f>
        <v/>
      </c>
      <c r="C75" s="79" t="str">
        <f aca="false">IF($B75="","",SUMIFS('Data Piutang'!$J$8:$J$307,'Data Piutang'!$D$8:$D$307,$B75,'Data Piutang'!$M$8:$M$307,"Belum Jatuh Tempo"))</f>
        <v/>
      </c>
      <c r="D75" s="79" t="str">
        <f aca="false">IF($B75="","",SUMIFS('Data Piutang'!$J$8:$J$307,'Data Piutang'!$D$8:$D$307,$B75,'Data Piutang'!$M$8:$M$307,"1-30 hari"))</f>
        <v/>
      </c>
      <c r="E75" s="79" t="str">
        <f aca="false">IF($B75="","",SUMIFS('Data Piutang'!$J$8:$J$307,'Data Piutang'!$D$8:$D$307,$B75,'Data Piutang'!$M$8:$M$307,"31-60 hari"))</f>
        <v/>
      </c>
      <c r="F75" s="79" t="str">
        <f aca="false">IF($B75="","",SUMIFS('Data Piutang'!$J$8:$J$307,'Data Piutang'!$D$8:$D$307,$B75,'Data Piutang'!$M$8:$M$307,"61-90 hari"))</f>
        <v/>
      </c>
      <c r="G75" s="79" t="str">
        <f aca="false">IF($B75="","",SUMIFS('Data Piutang'!$J$8:$J$307,'Data Piutang'!$D$8:$D$307,$B75,'Data Piutang'!$M$8:$M$307,"Lebih dari 90 hari"))</f>
        <v/>
      </c>
      <c r="H75" s="80" t="str">
        <f aca="false">IF($B75="","",SUM($C75:$G75))</f>
        <v/>
      </c>
      <c r="I75" s="81" t="str">
        <f aca="false">IF(OR($B75="",$H$112=0),"",$H75/$H$112)</f>
        <v/>
      </c>
    </row>
    <row r="76" customFormat="false" ht="15" hidden="false" customHeight="true" outlineLevel="0" collapsed="false">
      <c r="A76" s="73" t="str">
        <f aca="false">IF($B76="","",COUNTA($B$12:$B76))</f>
        <v/>
      </c>
      <c r="B76" s="74" t="str">
        <f aca="false">IF('Master Pelanggan'!$B70="","",'Master Pelanggan'!$B70)</f>
        <v/>
      </c>
      <c r="C76" s="75" t="str">
        <f aca="false">IF($B76="","",SUMIFS('Data Piutang'!$J$8:$J$307,'Data Piutang'!$D$8:$D$307,$B76,'Data Piutang'!$M$8:$M$307,"Belum Jatuh Tempo"))</f>
        <v/>
      </c>
      <c r="D76" s="75" t="str">
        <f aca="false">IF($B76="","",SUMIFS('Data Piutang'!$J$8:$J$307,'Data Piutang'!$D$8:$D$307,$B76,'Data Piutang'!$M$8:$M$307,"1-30 hari"))</f>
        <v/>
      </c>
      <c r="E76" s="75" t="str">
        <f aca="false">IF($B76="","",SUMIFS('Data Piutang'!$J$8:$J$307,'Data Piutang'!$D$8:$D$307,$B76,'Data Piutang'!$M$8:$M$307,"31-60 hari"))</f>
        <v/>
      </c>
      <c r="F76" s="75" t="str">
        <f aca="false">IF($B76="","",SUMIFS('Data Piutang'!$J$8:$J$307,'Data Piutang'!$D$8:$D$307,$B76,'Data Piutang'!$M$8:$M$307,"61-90 hari"))</f>
        <v/>
      </c>
      <c r="G76" s="75" t="str">
        <f aca="false">IF($B76="","",SUMIFS('Data Piutang'!$J$8:$J$307,'Data Piutang'!$D$8:$D$307,$B76,'Data Piutang'!$M$8:$M$307,"Lebih dari 90 hari"))</f>
        <v/>
      </c>
      <c r="H76" s="76" t="str">
        <f aca="false">IF($B76="","",SUM($C76:$G76))</f>
        <v/>
      </c>
      <c r="I76" s="77" t="str">
        <f aca="false">IF(OR($B76="",$H$112=0),"",$H76/$H$112)</f>
        <v/>
      </c>
    </row>
    <row r="77" customFormat="false" ht="15" hidden="false" customHeight="true" outlineLevel="0" collapsed="false">
      <c r="A77" s="18" t="str">
        <f aca="false">IF($B77="","",COUNTA($B$12:$B77))</f>
        <v/>
      </c>
      <c r="B77" s="78" t="str">
        <f aca="false">IF('Master Pelanggan'!$B71="","",'Master Pelanggan'!$B71)</f>
        <v/>
      </c>
      <c r="C77" s="79" t="str">
        <f aca="false">IF($B77="","",SUMIFS('Data Piutang'!$J$8:$J$307,'Data Piutang'!$D$8:$D$307,$B77,'Data Piutang'!$M$8:$M$307,"Belum Jatuh Tempo"))</f>
        <v/>
      </c>
      <c r="D77" s="79" t="str">
        <f aca="false">IF($B77="","",SUMIFS('Data Piutang'!$J$8:$J$307,'Data Piutang'!$D$8:$D$307,$B77,'Data Piutang'!$M$8:$M$307,"1-30 hari"))</f>
        <v/>
      </c>
      <c r="E77" s="79" t="str">
        <f aca="false">IF($B77="","",SUMIFS('Data Piutang'!$J$8:$J$307,'Data Piutang'!$D$8:$D$307,$B77,'Data Piutang'!$M$8:$M$307,"31-60 hari"))</f>
        <v/>
      </c>
      <c r="F77" s="79" t="str">
        <f aca="false">IF($B77="","",SUMIFS('Data Piutang'!$J$8:$J$307,'Data Piutang'!$D$8:$D$307,$B77,'Data Piutang'!$M$8:$M$307,"61-90 hari"))</f>
        <v/>
      </c>
      <c r="G77" s="79" t="str">
        <f aca="false">IF($B77="","",SUMIFS('Data Piutang'!$J$8:$J$307,'Data Piutang'!$D$8:$D$307,$B77,'Data Piutang'!$M$8:$M$307,"Lebih dari 90 hari"))</f>
        <v/>
      </c>
      <c r="H77" s="80" t="str">
        <f aca="false">IF($B77="","",SUM($C77:$G77))</f>
        <v/>
      </c>
      <c r="I77" s="81" t="str">
        <f aca="false">IF(OR($B77="",$H$112=0),"",$H77/$H$112)</f>
        <v/>
      </c>
    </row>
    <row r="78" customFormat="false" ht="15" hidden="false" customHeight="true" outlineLevel="0" collapsed="false">
      <c r="A78" s="73" t="str">
        <f aca="false">IF($B78="","",COUNTA($B$12:$B78))</f>
        <v/>
      </c>
      <c r="B78" s="74" t="str">
        <f aca="false">IF('Master Pelanggan'!$B72="","",'Master Pelanggan'!$B72)</f>
        <v/>
      </c>
      <c r="C78" s="75" t="str">
        <f aca="false">IF($B78="","",SUMIFS('Data Piutang'!$J$8:$J$307,'Data Piutang'!$D$8:$D$307,$B78,'Data Piutang'!$M$8:$M$307,"Belum Jatuh Tempo"))</f>
        <v/>
      </c>
      <c r="D78" s="75" t="str">
        <f aca="false">IF($B78="","",SUMIFS('Data Piutang'!$J$8:$J$307,'Data Piutang'!$D$8:$D$307,$B78,'Data Piutang'!$M$8:$M$307,"1-30 hari"))</f>
        <v/>
      </c>
      <c r="E78" s="75" t="str">
        <f aca="false">IF($B78="","",SUMIFS('Data Piutang'!$J$8:$J$307,'Data Piutang'!$D$8:$D$307,$B78,'Data Piutang'!$M$8:$M$307,"31-60 hari"))</f>
        <v/>
      </c>
      <c r="F78" s="75" t="str">
        <f aca="false">IF($B78="","",SUMIFS('Data Piutang'!$J$8:$J$307,'Data Piutang'!$D$8:$D$307,$B78,'Data Piutang'!$M$8:$M$307,"61-90 hari"))</f>
        <v/>
      </c>
      <c r="G78" s="75" t="str">
        <f aca="false">IF($B78="","",SUMIFS('Data Piutang'!$J$8:$J$307,'Data Piutang'!$D$8:$D$307,$B78,'Data Piutang'!$M$8:$M$307,"Lebih dari 90 hari"))</f>
        <v/>
      </c>
      <c r="H78" s="76" t="str">
        <f aca="false">IF($B78="","",SUM($C78:$G78))</f>
        <v/>
      </c>
      <c r="I78" s="77" t="str">
        <f aca="false">IF(OR($B78="",$H$112=0),"",$H78/$H$112)</f>
        <v/>
      </c>
    </row>
    <row r="79" customFormat="false" ht="15" hidden="false" customHeight="true" outlineLevel="0" collapsed="false">
      <c r="A79" s="18" t="str">
        <f aca="false">IF($B79="","",COUNTA($B$12:$B79))</f>
        <v/>
      </c>
      <c r="B79" s="78" t="str">
        <f aca="false">IF('Master Pelanggan'!$B73="","",'Master Pelanggan'!$B73)</f>
        <v/>
      </c>
      <c r="C79" s="79" t="str">
        <f aca="false">IF($B79="","",SUMIFS('Data Piutang'!$J$8:$J$307,'Data Piutang'!$D$8:$D$307,$B79,'Data Piutang'!$M$8:$M$307,"Belum Jatuh Tempo"))</f>
        <v/>
      </c>
      <c r="D79" s="79" t="str">
        <f aca="false">IF($B79="","",SUMIFS('Data Piutang'!$J$8:$J$307,'Data Piutang'!$D$8:$D$307,$B79,'Data Piutang'!$M$8:$M$307,"1-30 hari"))</f>
        <v/>
      </c>
      <c r="E79" s="79" t="str">
        <f aca="false">IF($B79="","",SUMIFS('Data Piutang'!$J$8:$J$307,'Data Piutang'!$D$8:$D$307,$B79,'Data Piutang'!$M$8:$M$307,"31-60 hari"))</f>
        <v/>
      </c>
      <c r="F79" s="79" t="str">
        <f aca="false">IF($B79="","",SUMIFS('Data Piutang'!$J$8:$J$307,'Data Piutang'!$D$8:$D$307,$B79,'Data Piutang'!$M$8:$M$307,"61-90 hari"))</f>
        <v/>
      </c>
      <c r="G79" s="79" t="str">
        <f aca="false">IF($B79="","",SUMIFS('Data Piutang'!$J$8:$J$307,'Data Piutang'!$D$8:$D$307,$B79,'Data Piutang'!$M$8:$M$307,"Lebih dari 90 hari"))</f>
        <v/>
      </c>
      <c r="H79" s="80" t="str">
        <f aca="false">IF($B79="","",SUM($C79:$G79))</f>
        <v/>
      </c>
      <c r="I79" s="81" t="str">
        <f aca="false">IF(OR($B79="",$H$112=0),"",$H79/$H$112)</f>
        <v/>
      </c>
    </row>
    <row r="80" customFormat="false" ht="15" hidden="false" customHeight="true" outlineLevel="0" collapsed="false">
      <c r="A80" s="73" t="str">
        <f aca="false">IF($B80="","",COUNTA($B$12:$B80))</f>
        <v/>
      </c>
      <c r="B80" s="74" t="str">
        <f aca="false">IF('Master Pelanggan'!$B74="","",'Master Pelanggan'!$B74)</f>
        <v/>
      </c>
      <c r="C80" s="75" t="str">
        <f aca="false">IF($B80="","",SUMIFS('Data Piutang'!$J$8:$J$307,'Data Piutang'!$D$8:$D$307,$B80,'Data Piutang'!$M$8:$M$307,"Belum Jatuh Tempo"))</f>
        <v/>
      </c>
      <c r="D80" s="75" t="str">
        <f aca="false">IF($B80="","",SUMIFS('Data Piutang'!$J$8:$J$307,'Data Piutang'!$D$8:$D$307,$B80,'Data Piutang'!$M$8:$M$307,"1-30 hari"))</f>
        <v/>
      </c>
      <c r="E80" s="75" t="str">
        <f aca="false">IF($B80="","",SUMIFS('Data Piutang'!$J$8:$J$307,'Data Piutang'!$D$8:$D$307,$B80,'Data Piutang'!$M$8:$M$307,"31-60 hari"))</f>
        <v/>
      </c>
      <c r="F80" s="75" t="str">
        <f aca="false">IF($B80="","",SUMIFS('Data Piutang'!$J$8:$J$307,'Data Piutang'!$D$8:$D$307,$B80,'Data Piutang'!$M$8:$M$307,"61-90 hari"))</f>
        <v/>
      </c>
      <c r="G80" s="75" t="str">
        <f aca="false">IF($B80="","",SUMIFS('Data Piutang'!$J$8:$J$307,'Data Piutang'!$D$8:$D$307,$B80,'Data Piutang'!$M$8:$M$307,"Lebih dari 90 hari"))</f>
        <v/>
      </c>
      <c r="H80" s="76" t="str">
        <f aca="false">IF($B80="","",SUM($C80:$G80))</f>
        <v/>
      </c>
      <c r="I80" s="77" t="str">
        <f aca="false">IF(OR($B80="",$H$112=0),"",$H80/$H$112)</f>
        <v/>
      </c>
    </row>
    <row r="81" customFormat="false" ht="15" hidden="false" customHeight="true" outlineLevel="0" collapsed="false">
      <c r="A81" s="18" t="str">
        <f aca="false">IF($B81="","",COUNTA($B$12:$B81))</f>
        <v/>
      </c>
      <c r="B81" s="78" t="str">
        <f aca="false">IF('Master Pelanggan'!$B75="","",'Master Pelanggan'!$B75)</f>
        <v/>
      </c>
      <c r="C81" s="79" t="str">
        <f aca="false">IF($B81="","",SUMIFS('Data Piutang'!$J$8:$J$307,'Data Piutang'!$D$8:$D$307,$B81,'Data Piutang'!$M$8:$M$307,"Belum Jatuh Tempo"))</f>
        <v/>
      </c>
      <c r="D81" s="79" t="str">
        <f aca="false">IF($B81="","",SUMIFS('Data Piutang'!$J$8:$J$307,'Data Piutang'!$D$8:$D$307,$B81,'Data Piutang'!$M$8:$M$307,"1-30 hari"))</f>
        <v/>
      </c>
      <c r="E81" s="79" t="str">
        <f aca="false">IF($B81="","",SUMIFS('Data Piutang'!$J$8:$J$307,'Data Piutang'!$D$8:$D$307,$B81,'Data Piutang'!$M$8:$M$307,"31-60 hari"))</f>
        <v/>
      </c>
      <c r="F81" s="79" t="str">
        <f aca="false">IF($B81="","",SUMIFS('Data Piutang'!$J$8:$J$307,'Data Piutang'!$D$8:$D$307,$B81,'Data Piutang'!$M$8:$M$307,"61-90 hari"))</f>
        <v/>
      </c>
      <c r="G81" s="79" t="str">
        <f aca="false">IF($B81="","",SUMIFS('Data Piutang'!$J$8:$J$307,'Data Piutang'!$D$8:$D$307,$B81,'Data Piutang'!$M$8:$M$307,"Lebih dari 90 hari"))</f>
        <v/>
      </c>
      <c r="H81" s="80" t="str">
        <f aca="false">IF($B81="","",SUM($C81:$G81))</f>
        <v/>
      </c>
      <c r="I81" s="81" t="str">
        <f aca="false">IF(OR($B81="",$H$112=0),"",$H81/$H$112)</f>
        <v/>
      </c>
    </row>
    <row r="82" customFormat="false" ht="15" hidden="false" customHeight="true" outlineLevel="0" collapsed="false">
      <c r="A82" s="73" t="str">
        <f aca="false">IF($B82="","",COUNTA($B$12:$B82))</f>
        <v/>
      </c>
      <c r="B82" s="74" t="str">
        <f aca="false">IF('Master Pelanggan'!$B76="","",'Master Pelanggan'!$B76)</f>
        <v/>
      </c>
      <c r="C82" s="75" t="str">
        <f aca="false">IF($B82="","",SUMIFS('Data Piutang'!$J$8:$J$307,'Data Piutang'!$D$8:$D$307,$B82,'Data Piutang'!$M$8:$M$307,"Belum Jatuh Tempo"))</f>
        <v/>
      </c>
      <c r="D82" s="75" t="str">
        <f aca="false">IF($B82="","",SUMIFS('Data Piutang'!$J$8:$J$307,'Data Piutang'!$D$8:$D$307,$B82,'Data Piutang'!$M$8:$M$307,"1-30 hari"))</f>
        <v/>
      </c>
      <c r="E82" s="75" t="str">
        <f aca="false">IF($B82="","",SUMIFS('Data Piutang'!$J$8:$J$307,'Data Piutang'!$D$8:$D$307,$B82,'Data Piutang'!$M$8:$M$307,"31-60 hari"))</f>
        <v/>
      </c>
      <c r="F82" s="75" t="str">
        <f aca="false">IF($B82="","",SUMIFS('Data Piutang'!$J$8:$J$307,'Data Piutang'!$D$8:$D$307,$B82,'Data Piutang'!$M$8:$M$307,"61-90 hari"))</f>
        <v/>
      </c>
      <c r="G82" s="75" t="str">
        <f aca="false">IF($B82="","",SUMIFS('Data Piutang'!$J$8:$J$307,'Data Piutang'!$D$8:$D$307,$B82,'Data Piutang'!$M$8:$M$307,"Lebih dari 90 hari"))</f>
        <v/>
      </c>
      <c r="H82" s="76" t="str">
        <f aca="false">IF($B82="","",SUM($C82:$G82))</f>
        <v/>
      </c>
      <c r="I82" s="77" t="str">
        <f aca="false">IF(OR($B82="",$H$112=0),"",$H82/$H$112)</f>
        <v/>
      </c>
    </row>
    <row r="83" customFormat="false" ht="15" hidden="false" customHeight="true" outlineLevel="0" collapsed="false">
      <c r="A83" s="18" t="str">
        <f aca="false">IF($B83="","",COUNTA($B$12:$B83))</f>
        <v/>
      </c>
      <c r="B83" s="78" t="str">
        <f aca="false">IF('Master Pelanggan'!$B77="","",'Master Pelanggan'!$B77)</f>
        <v/>
      </c>
      <c r="C83" s="79" t="str">
        <f aca="false">IF($B83="","",SUMIFS('Data Piutang'!$J$8:$J$307,'Data Piutang'!$D$8:$D$307,$B83,'Data Piutang'!$M$8:$M$307,"Belum Jatuh Tempo"))</f>
        <v/>
      </c>
      <c r="D83" s="79" t="str">
        <f aca="false">IF($B83="","",SUMIFS('Data Piutang'!$J$8:$J$307,'Data Piutang'!$D$8:$D$307,$B83,'Data Piutang'!$M$8:$M$307,"1-30 hari"))</f>
        <v/>
      </c>
      <c r="E83" s="79" t="str">
        <f aca="false">IF($B83="","",SUMIFS('Data Piutang'!$J$8:$J$307,'Data Piutang'!$D$8:$D$307,$B83,'Data Piutang'!$M$8:$M$307,"31-60 hari"))</f>
        <v/>
      </c>
      <c r="F83" s="79" t="str">
        <f aca="false">IF($B83="","",SUMIFS('Data Piutang'!$J$8:$J$307,'Data Piutang'!$D$8:$D$307,$B83,'Data Piutang'!$M$8:$M$307,"61-90 hari"))</f>
        <v/>
      </c>
      <c r="G83" s="79" t="str">
        <f aca="false">IF($B83="","",SUMIFS('Data Piutang'!$J$8:$J$307,'Data Piutang'!$D$8:$D$307,$B83,'Data Piutang'!$M$8:$M$307,"Lebih dari 90 hari"))</f>
        <v/>
      </c>
      <c r="H83" s="80" t="str">
        <f aca="false">IF($B83="","",SUM($C83:$G83))</f>
        <v/>
      </c>
      <c r="I83" s="81" t="str">
        <f aca="false">IF(OR($B83="",$H$112=0),"",$H83/$H$112)</f>
        <v/>
      </c>
    </row>
    <row r="84" customFormat="false" ht="15" hidden="false" customHeight="true" outlineLevel="0" collapsed="false">
      <c r="A84" s="73" t="str">
        <f aca="false">IF($B84="","",COUNTA($B$12:$B84))</f>
        <v/>
      </c>
      <c r="B84" s="74" t="str">
        <f aca="false">IF('Master Pelanggan'!$B78="","",'Master Pelanggan'!$B78)</f>
        <v/>
      </c>
      <c r="C84" s="75" t="str">
        <f aca="false">IF($B84="","",SUMIFS('Data Piutang'!$J$8:$J$307,'Data Piutang'!$D$8:$D$307,$B84,'Data Piutang'!$M$8:$M$307,"Belum Jatuh Tempo"))</f>
        <v/>
      </c>
      <c r="D84" s="75" t="str">
        <f aca="false">IF($B84="","",SUMIFS('Data Piutang'!$J$8:$J$307,'Data Piutang'!$D$8:$D$307,$B84,'Data Piutang'!$M$8:$M$307,"1-30 hari"))</f>
        <v/>
      </c>
      <c r="E84" s="75" t="str">
        <f aca="false">IF($B84="","",SUMIFS('Data Piutang'!$J$8:$J$307,'Data Piutang'!$D$8:$D$307,$B84,'Data Piutang'!$M$8:$M$307,"31-60 hari"))</f>
        <v/>
      </c>
      <c r="F84" s="75" t="str">
        <f aca="false">IF($B84="","",SUMIFS('Data Piutang'!$J$8:$J$307,'Data Piutang'!$D$8:$D$307,$B84,'Data Piutang'!$M$8:$M$307,"61-90 hari"))</f>
        <v/>
      </c>
      <c r="G84" s="75" t="str">
        <f aca="false">IF($B84="","",SUMIFS('Data Piutang'!$J$8:$J$307,'Data Piutang'!$D$8:$D$307,$B84,'Data Piutang'!$M$8:$M$307,"Lebih dari 90 hari"))</f>
        <v/>
      </c>
      <c r="H84" s="76" t="str">
        <f aca="false">IF($B84="","",SUM($C84:$G84))</f>
        <v/>
      </c>
      <c r="I84" s="77" t="str">
        <f aca="false">IF(OR($B84="",$H$112=0),"",$H84/$H$112)</f>
        <v/>
      </c>
    </row>
    <row r="85" customFormat="false" ht="15" hidden="false" customHeight="true" outlineLevel="0" collapsed="false">
      <c r="A85" s="18" t="str">
        <f aca="false">IF($B85="","",COUNTA($B$12:$B85))</f>
        <v/>
      </c>
      <c r="B85" s="78" t="str">
        <f aca="false">IF('Master Pelanggan'!$B79="","",'Master Pelanggan'!$B79)</f>
        <v/>
      </c>
      <c r="C85" s="79" t="str">
        <f aca="false">IF($B85="","",SUMIFS('Data Piutang'!$J$8:$J$307,'Data Piutang'!$D$8:$D$307,$B85,'Data Piutang'!$M$8:$M$307,"Belum Jatuh Tempo"))</f>
        <v/>
      </c>
      <c r="D85" s="79" t="str">
        <f aca="false">IF($B85="","",SUMIFS('Data Piutang'!$J$8:$J$307,'Data Piutang'!$D$8:$D$307,$B85,'Data Piutang'!$M$8:$M$307,"1-30 hari"))</f>
        <v/>
      </c>
      <c r="E85" s="79" t="str">
        <f aca="false">IF($B85="","",SUMIFS('Data Piutang'!$J$8:$J$307,'Data Piutang'!$D$8:$D$307,$B85,'Data Piutang'!$M$8:$M$307,"31-60 hari"))</f>
        <v/>
      </c>
      <c r="F85" s="79" t="str">
        <f aca="false">IF($B85="","",SUMIFS('Data Piutang'!$J$8:$J$307,'Data Piutang'!$D$8:$D$307,$B85,'Data Piutang'!$M$8:$M$307,"61-90 hari"))</f>
        <v/>
      </c>
      <c r="G85" s="79" t="str">
        <f aca="false">IF($B85="","",SUMIFS('Data Piutang'!$J$8:$J$307,'Data Piutang'!$D$8:$D$307,$B85,'Data Piutang'!$M$8:$M$307,"Lebih dari 90 hari"))</f>
        <v/>
      </c>
      <c r="H85" s="80" t="str">
        <f aca="false">IF($B85="","",SUM($C85:$G85))</f>
        <v/>
      </c>
      <c r="I85" s="81" t="str">
        <f aca="false">IF(OR($B85="",$H$112=0),"",$H85/$H$112)</f>
        <v/>
      </c>
    </row>
    <row r="86" customFormat="false" ht="15" hidden="false" customHeight="true" outlineLevel="0" collapsed="false">
      <c r="A86" s="73" t="str">
        <f aca="false">IF($B86="","",COUNTA($B$12:$B86))</f>
        <v/>
      </c>
      <c r="B86" s="74" t="str">
        <f aca="false">IF('Master Pelanggan'!$B80="","",'Master Pelanggan'!$B80)</f>
        <v/>
      </c>
      <c r="C86" s="75" t="str">
        <f aca="false">IF($B86="","",SUMIFS('Data Piutang'!$J$8:$J$307,'Data Piutang'!$D$8:$D$307,$B86,'Data Piutang'!$M$8:$M$307,"Belum Jatuh Tempo"))</f>
        <v/>
      </c>
      <c r="D86" s="75" t="str">
        <f aca="false">IF($B86="","",SUMIFS('Data Piutang'!$J$8:$J$307,'Data Piutang'!$D$8:$D$307,$B86,'Data Piutang'!$M$8:$M$307,"1-30 hari"))</f>
        <v/>
      </c>
      <c r="E86" s="75" t="str">
        <f aca="false">IF($B86="","",SUMIFS('Data Piutang'!$J$8:$J$307,'Data Piutang'!$D$8:$D$307,$B86,'Data Piutang'!$M$8:$M$307,"31-60 hari"))</f>
        <v/>
      </c>
      <c r="F86" s="75" t="str">
        <f aca="false">IF($B86="","",SUMIFS('Data Piutang'!$J$8:$J$307,'Data Piutang'!$D$8:$D$307,$B86,'Data Piutang'!$M$8:$M$307,"61-90 hari"))</f>
        <v/>
      </c>
      <c r="G86" s="75" t="str">
        <f aca="false">IF($B86="","",SUMIFS('Data Piutang'!$J$8:$J$307,'Data Piutang'!$D$8:$D$307,$B86,'Data Piutang'!$M$8:$M$307,"Lebih dari 90 hari"))</f>
        <v/>
      </c>
      <c r="H86" s="76" t="str">
        <f aca="false">IF($B86="","",SUM($C86:$G86))</f>
        <v/>
      </c>
      <c r="I86" s="77" t="str">
        <f aca="false">IF(OR($B86="",$H$112=0),"",$H86/$H$112)</f>
        <v/>
      </c>
    </row>
    <row r="87" customFormat="false" ht="15" hidden="false" customHeight="true" outlineLevel="0" collapsed="false">
      <c r="A87" s="18" t="str">
        <f aca="false">IF($B87="","",COUNTA($B$12:$B87))</f>
        <v/>
      </c>
      <c r="B87" s="78" t="str">
        <f aca="false">IF('Master Pelanggan'!$B81="","",'Master Pelanggan'!$B81)</f>
        <v/>
      </c>
      <c r="C87" s="79" t="str">
        <f aca="false">IF($B87="","",SUMIFS('Data Piutang'!$J$8:$J$307,'Data Piutang'!$D$8:$D$307,$B87,'Data Piutang'!$M$8:$M$307,"Belum Jatuh Tempo"))</f>
        <v/>
      </c>
      <c r="D87" s="79" t="str">
        <f aca="false">IF($B87="","",SUMIFS('Data Piutang'!$J$8:$J$307,'Data Piutang'!$D$8:$D$307,$B87,'Data Piutang'!$M$8:$M$307,"1-30 hari"))</f>
        <v/>
      </c>
      <c r="E87" s="79" t="str">
        <f aca="false">IF($B87="","",SUMIFS('Data Piutang'!$J$8:$J$307,'Data Piutang'!$D$8:$D$307,$B87,'Data Piutang'!$M$8:$M$307,"31-60 hari"))</f>
        <v/>
      </c>
      <c r="F87" s="79" t="str">
        <f aca="false">IF($B87="","",SUMIFS('Data Piutang'!$J$8:$J$307,'Data Piutang'!$D$8:$D$307,$B87,'Data Piutang'!$M$8:$M$307,"61-90 hari"))</f>
        <v/>
      </c>
      <c r="G87" s="79" t="str">
        <f aca="false">IF($B87="","",SUMIFS('Data Piutang'!$J$8:$J$307,'Data Piutang'!$D$8:$D$307,$B87,'Data Piutang'!$M$8:$M$307,"Lebih dari 90 hari"))</f>
        <v/>
      </c>
      <c r="H87" s="80" t="str">
        <f aca="false">IF($B87="","",SUM($C87:$G87))</f>
        <v/>
      </c>
      <c r="I87" s="81" t="str">
        <f aca="false">IF(OR($B87="",$H$112=0),"",$H87/$H$112)</f>
        <v/>
      </c>
    </row>
    <row r="88" customFormat="false" ht="15" hidden="false" customHeight="true" outlineLevel="0" collapsed="false">
      <c r="A88" s="73" t="str">
        <f aca="false">IF($B88="","",COUNTA($B$12:$B88))</f>
        <v/>
      </c>
      <c r="B88" s="74" t="str">
        <f aca="false">IF('Master Pelanggan'!$B82="","",'Master Pelanggan'!$B82)</f>
        <v/>
      </c>
      <c r="C88" s="75" t="str">
        <f aca="false">IF($B88="","",SUMIFS('Data Piutang'!$J$8:$J$307,'Data Piutang'!$D$8:$D$307,$B88,'Data Piutang'!$M$8:$M$307,"Belum Jatuh Tempo"))</f>
        <v/>
      </c>
      <c r="D88" s="75" t="str">
        <f aca="false">IF($B88="","",SUMIFS('Data Piutang'!$J$8:$J$307,'Data Piutang'!$D$8:$D$307,$B88,'Data Piutang'!$M$8:$M$307,"1-30 hari"))</f>
        <v/>
      </c>
      <c r="E88" s="75" t="str">
        <f aca="false">IF($B88="","",SUMIFS('Data Piutang'!$J$8:$J$307,'Data Piutang'!$D$8:$D$307,$B88,'Data Piutang'!$M$8:$M$307,"31-60 hari"))</f>
        <v/>
      </c>
      <c r="F88" s="75" t="str">
        <f aca="false">IF($B88="","",SUMIFS('Data Piutang'!$J$8:$J$307,'Data Piutang'!$D$8:$D$307,$B88,'Data Piutang'!$M$8:$M$307,"61-90 hari"))</f>
        <v/>
      </c>
      <c r="G88" s="75" t="str">
        <f aca="false">IF($B88="","",SUMIFS('Data Piutang'!$J$8:$J$307,'Data Piutang'!$D$8:$D$307,$B88,'Data Piutang'!$M$8:$M$307,"Lebih dari 90 hari"))</f>
        <v/>
      </c>
      <c r="H88" s="76" t="str">
        <f aca="false">IF($B88="","",SUM($C88:$G88))</f>
        <v/>
      </c>
      <c r="I88" s="77" t="str">
        <f aca="false">IF(OR($B88="",$H$112=0),"",$H88/$H$112)</f>
        <v/>
      </c>
    </row>
    <row r="89" customFormat="false" ht="15" hidden="false" customHeight="true" outlineLevel="0" collapsed="false">
      <c r="A89" s="18" t="str">
        <f aca="false">IF($B89="","",COUNTA($B$12:$B89))</f>
        <v/>
      </c>
      <c r="B89" s="78" t="str">
        <f aca="false">IF('Master Pelanggan'!$B83="","",'Master Pelanggan'!$B83)</f>
        <v/>
      </c>
      <c r="C89" s="79" t="str">
        <f aca="false">IF($B89="","",SUMIFS('Data Piutang'!$J$8:$J$307,'Data Piutang'!$D$8:$D$307,$B89,'Data Piutang'!$M$8:$M$307,"Belum Jatuh Tempo"))</f>
        <v/>
      </c>
      <c r="D89" s="79" t="str">
        <f aca="false">IF($B89="","",SUMIFS('Data Piutang'!$J$8:$J$307,'Data Piutang'!$D$8:$D$307,$B89,'Data Piutang'!$M$8:$M$307,"1-30 hari"))</f>
        <v/>
      </c>
      <c r="E89" s="79" t="str">
        <f aca="false">IF($B89="","",SUMIFS('Data Piutang'!$J$8:$J$307,'Data Piutang'!$D$8:$D$307,$B89,'Data Piutang'!$M$8:$M$307,"31-60 hari"))</f>
        <v/>
      </c>
      <c r="F89" s="79" t="str">
        <f aca="false">IF($B89="","",SUMIFS('Data Piutang'!$J$8:$J$307,'Data Piutang'!$D$8:$D$307,$B89,'Data Piutang'!$M$8:$M$307,"61-90 hari"))</f>
        <v/>
      </c>
      <c r="G89" s="79" t="str">
        <f aca="false">IF($B89="","",SUMIFS('Data Piutang'!$J$8:$J$307,'Data Piutang'!$D$8:$D$307,$B89,'Data Piutang'!$M$8:$M$307,"Lebih dari 90 hari"))</f>
        <v/>
      </c>
      <c r="H89" s="80" t="str">
        <f aca="false">IF($B89="","",SUM($C89:$G89))</f>
        <v/>
      </c>
      <c r="I89" s="81" t="str">
        <f aca="false">IF(OR($B89="",$H$112=0),"",$H89/$H$112)</f>
        <v/>
      </c>
    </row>
    <row r="90" customFormat="false" ht="15" hidden="false" customHeight="true" outlineLevel="0" collapsed="false">
      <c r="A90" s="73" t="str">
        <f aca="false">IF($B90="","",COUNTA($B$12:$B90))</f>
        <v/>
      </c>
      <c r="B90" s="74" t="str">
        <f aca="false">IF('Master Pelanggan'!$B84="","",'Master Pelanggan'!$B84)</f>
        <v/>
      </c>
      <c r="C90" s="75" t="str">
        <f aca="false">IF($B90="","",SUMIFS('Data Piutang'!$J$8:$J$307,'Data Piutang'!$D$8:$D$307,$B90,'Data Piutang'!$M$8:$M$307,"Belum Jatuh Tempo"))</f>
        <v/>
      </c>
      <c r="D90" s="75" t="str">
        <f aca="false">IF($B90="","",SUMIFS('Data Piutang'!$J$8:$J$307,'Data Piutang'!$D$8:$D$307,$B90,'Data Piutang'!$M$8:$M$307,"1-30 hari"))</f>
        <v/>
      </c>
      <c r="E90" s="75" t="str">
        <f aca="false">IF($B90="","",SUMIFS('Data Piutang'!$J$8:$J$307,'Data Piutang'!$D$8:$D$307,$B90,'Data Piutang'!$M$8:$M$307,"31-60 hari"))</f>
        <v/>
      </c>
      <c r="F90" s="75" t="str">
        <f aca="false">IF($B90="","",SUMIFS('Data Piutang'!$J$8:$J$307,'Data Piutang'!$D$8:$D$307,$B90,'Data Piutang'!$M$8:$M$307,"61-90 hari"))</f>
        <v/>
      </c>
      <c r="G90" s="75" t="str">
        <f aca="false">IF($B90="","",SUMIFS('Data Piutang'!$J$8:$J$307,'Data Piutang'!$D$8:$D$307,$B90,'Data Piutang'!$M$8:$M$307,"Lebih dari 90 hari"))</f>
        <v/>
      </c>
      <c r="H90" s="76" t="str">
        <f aca="false">IF($B90="","",SUM($C90:$G90))</f>
        <v/>
      </c>
      <c r="I90" s="77" t="str">
        <f aca="false">IF(OR($B90="",$H$112=0),"",$H90/$H$112)</f>
        <v/>
      </c>
    </row>
    <row r="91" customFormat="false" ht="15" hidden="false" customHeight="true" outlineLevel="0" collapsed="false">
      <c r="A91" s="18" t="str">
        <f aca="false">IF($B91="","",COUNTA($B$12:$B91))</f>
        <v/>
      </c>
      <c r="B91" s="78" t="str">
        <f aca="false">IF('Master Pelanggan'!$B85="","",'Master Pelanggan'!$B85)</f>
        <v/>
      </c>
      <c r="C91" s="79" t="str">
        <f aca="false">IF($B91="","",SUMIFS('Data Piutang'!$J$8:$J$307,'Data Piutang'!$D$8:$D$307,$B91,'Data Piutang'!$M$8:$M$307,"Belum Jatuh Tempo"))</f>
        <v/>
      </c>
      <c r="D91" s="79" t="str">
        <f aca="false">IF($B91="","",SUMIFS('Data Piutang'!$J$8:$J$307,'Data Piutang'!$D$8:$D$307,$B91,'Data Piutang'!$M$8:$M$307,"1-30 hari"))</f>
        <v/>
      </c>
      <c r="E91" s="79" t="str">
        <f aca="false">IF($B91="","",SUMIFS('Data Piutang'!$J$8:$J$307,'Data Piutang'!$D$8:$D$307,$B91,'Data Piutang'!$M$8:$M$307,"31-60 hari"))</f>
        <v/>
      </c>
      <c r="F91" s="79" t="str">
        <f aca="false">IF($B91="","",SUMIFS('Data Piutang'!$J$8:$J$307,'Data Piutang'!$D$8:$D$307,$B91,'Data Piutang'!$M$8:$M$307,"61-90 hari"))</f>
        <v/>
      </c>
      <c r="G91" s="79" t="str">
        <f aca="false">IF($B91="","",SUMIFS('Data Piutang'!$J$8:$J$307,'Data Piutang'!$D$8:$D$307,$B91,'Data Piutang'!$M$8:$M$307,"Lebih dari 90 hari"))</f>
        <v/>
      </c>
      <c r="H91" s="80" t="str">
        <f aca="false">IF($B91="","",SUM($C91:$G91))</f>
        <v/>
      </c>
      <c r="I91" s="81" t="str">
        <f aca="false">IF(OR($B91="",$H$112=0),"",$H91/$H$112)</f>
        <v/>
      </c>
    </row>
    <row r="92" customFormat="false" ht="15" hidden="false" customHeight="true" outlineLevel="0" collapsed="false">
      <c r="A92" s="73" t="str">
        <f aca="false">IF($B92="","",COUNTA($B$12:$B92))</f>
        <v/>
      </c>
      <c r="B92" s="74" t="str">
        <f aca="false">IF('Master Pelanggan'!$B86="","",'Master Pelanggan'!$B86)</f>
        <v/>
      </c>
      <c r="C92" s="75" t="str">
        <f aca="false">IF($B92="","",SUMIFS('Data Piutang'!$J$8:$J$307,'Data Piutang'!$D$8:$D$307,$B92,'Data Piutang'!$M$8:$M$307,"Belum Jatuh Tempo"))</f>
        <v/>
      </c>
      <c r="D92" s="75" t="str">
        <f aca="false">IF($B92="","",SUMIFS('Data Piutang'!$J$8:$J$307,'Data Piutang'!$D$8:$D$307,$B92,'Data Piutang'!$M$8:$M$307,"1-30 hari"))</f>
        <v/>
      </c>
      <c r="E92" s="75" t="str">
        <f aca="false">IF($B92="","",SUMIFS('Data Piutang'!$J$8:$J$307,'Data Piutang'!$D$8:$D$307,$B92,'Data Piutang'!$M$8:$M$307,"31-60 hari"))</f>
        <v/>
      </c>
      <c r="F92" s="75" t="str">
        <f aca="false">IF($B92="","",SUMIFS('Data Piutang'!$J$8:$J$307,'Data Piutang'!$D$8:$D$307,$B92,'Data Piutang'!$M$8:$M$307,"61-90 hari"))</f>
        <v/>
      </c>
      <c r="G92" s="75" t="str">
        <f aca="false">IF($B92="","",SUMIFS('Data Piutang'!$J$8:$J$307,'Data Piutang'!$D$8:$D$307,$B92,'Data Piutang'!$M$8:$M$307,"Lebih dari 90 hari"))</f>
        <v/>
      </c>
      <c r="H92" s="76" t="str">
        <f aca="false">IF($B92="","",SUM($C92:$G92))</f>
        <v/>
      </c>
      <c r="I92" s="77" t="str">
        <f aca="false">IF(OR($B92="",$H$112=0),"",$H92/$H$112)</f>
        <v/>
      </c>
    </row>
    <row r="93" customFormat="false" ht="15" hidden="false" customHeight="true" outlineLevel="0" collapsed="false">
      <c r="A93" s="18" t="str">
        <f aca="false">IF($B93="","",COUNTA($B$12:$B93))</f>
        <v/>
      </c>
      <c r="B93" s="78" t="str">
        <f aca="false">IF('Master Pelanggan'!$B87="","",'Master Pelanggan'!$B87)</f>
        <v/>
      </c>
      <c r="C93" s="79" t="str">
        <f aca="false">IF($B93="","",SUMIFS('Data Piutang'!$J$8:$J$307,'Data Piutang'!$D$8:$D$307,$B93,'Data Piutang'!$M$8:$M$307,"Belum Jatuh Tempo"))</f>
        <v/>
      </c>
      <c r="D93" s="79" t="str">
        <f aca="false">IF($B93="","",SUMIFS('Data Piutang'!$J$8:$J$307,'Data Piutang'!$D$8:$D$307,$B93,'Data Piutang'!$M$8:$M$307,"1-30 hari"))</f>
        <v/>
      </c>
      <c r="E93" s="79" t="str">
        <f aca="false">IF($B93="","",SUMIFS('Data Piutang'!$J$8:$J$307,'Data Piutang'!$D$8:$D$307,$B93,'Data Piutang'!$M$8:$M$307,"31-60 hari"))</f>
        <v/>
      </c>
      <c r="F93" s="79" t="str">
        <f aca="false">IF($B93="","",SUMIFS('Data Piutang'!$J$8:$J$307,'Data Piutang'!$D$8:$D$307,$B93,'Data Piutang'!$M$8:$M$307,"61-90 hari"))</f>
        <v/>
      </c>
      <c r="G93" s="79" t="str">
        <f aca="false">IF($B93="","",SUMIFS('Data Piutang'!$J$8:$J$307,'Data Piutang'!$D$8:$D$307,$B93,'Data Piutang'!$M$8:$M$307,"Lebih dari 90 hari"))</f>
        <v/>
      </c>
      <c r="H93" s="80" t="str">
        <f aca="false">IF($B93="","",SUM($C93:$G93))</f>
        <v/>
      </c>
      <c r="I93" s="81" t="str">
        <f aca="false">IF(OR($B93="",$H$112=0),"",$H93/$H$112)</f>
        <v/>
      </c>
    </row>
    <row r="94" customFormat="false" ht="15" hidden="false" customHeight="true" outlineLevel="0" collapsed="false">
      <c r="A94" s="73" t="str">
        <f aca="false">IF($B94="","",COUNTA($B$12:$B94))</f>
        <v/>
      </c>
      <c r="B94" s="74" t="str">
        <f aca="false">IF('Master Pelanggan'!$B88="","",'Master Pelanggan'!$B88)</f>
        <v/>
      </c>
      <c r="C94" s="75" t="str">
        <f aca="false">IF($B94="","",SUMIFS('Data Piutang'!$J$8:$J$307,'Data Piutang'!$D$8:$D$307,$B94,'Data Piutang'!$M$8:$M$307,"Belum Jatuh Tempo"))</f>
        <v/>
      </c>
      <c r="D94" s="75" t="str">
        <f aca="false">IF($B94="","",SUMIFS('Data Piutang'!$J$8:$J$307,'Data Piutang'!$D$8:$D$307,$B94,'Data Piutang'!$M$8:$M$307,"1-30 hari"))</f>
        <v/>
      </c>
      <c r="E94" s="75" t="str">
        <f aca="false">IF($B94="","",SUMIFS('Data Piutang'!$J$8:$J$307,'Data Piutang'!$D$8:$D$307,$B94,'Data Piutang'!$M$8:$M$307,"31-60 hari"))</f>
        <v/>
      </c>
      <c r="F94" s="75" t="str">
        <f aca="false">IF($B94="","",SUMIFS('Data Piutang'!$J$8:$J$307,'Data Piutang'!$D$8:$D$307,$B94,'Data Piutang'!$M$8:$M$307,"61-90 hari"))</f>
        <v/>
      </c>
      <c r="G94" s="75" t="str">
        <f aca="false">IF($B94="","",SUMIFS('Data Piutang'!$J$8:$J$307,'Data Piutang'!$D$8:$D$307,$B94,'Data Piutang'!$M$8:$M$307,"Lebih dari 90 hari"))</f>
        <v/>
      </c>
      <c r="H94" s="76" t="str">
        <f aca="false">IF($B94="","",SUM($C94:$G94))</f>
        <v/>
      </c>
      <c r="I94" s="77" t="str">
        <f aca="false">IF(OR($B94="",$H$112=0),"",$H94/$H$112)</f>
        <v/>
      </c>
    </row>
    <row r="95" customFormat="false" ht="15" hidden="false" customHeight="true" outlineLevel="0" collapsed="false">
      <c r="A95" s="18" t="str">
        <f aca="false">IF($B95="","",COUNTA($B$12:$B95))</f>
        <v/>
      </c>
      <c r="B95" s="78" t="str">
        <f aca="false">IF('Master Pelanggan'!$B89="","",'Master Pelanggan'!$B89)</f>
        <v/>
      </c>
      <c r="C95" s="79" t="str">
        <f aca="false">IF($B95="","",SUMIFS('Data Piutang'!$J$8:$J$307,'Data Piutang'!$D$8:$D$307,$B95,'Data Piutang'!$M$8:$M$307,"Belum Jatuh Tempo"))</f>
        <v/>
      </c>
      <c r="D95" s="79" t="str">
        <f aca="false">IF($B95="","",SUMIFS('Data Piutang'!$J$8:$J$307,'Data Piutang'!$D$8:$D$307,$B95,'Data Piutang'!$M$8:$M$307,"1-30 hari"))</f>
        <v/>
      </c>
      <c r="E95" s="79" t="str">
        <f aca="false">IF($B95="","",SUMIFS('Data Piutang'!$J$8:$J$307,'Data Piutang'!$D$8:$D$307,$B95,'Data Piutang'!$M$8:$M$307,"31-60 hari"))</f>
        <v/>
      </c>
      <c r="F95" s="79" t="str">
        <f aca="false">IF($B95="","",SUMIFS('Data Piutang'!$J$8:$J$307,'Data Piutang'!$D$8:$D$307,$B95,'Data Piutang'!$M$8:$M$307,"61-90 hari"))</f>
        <v/>
      </c>
      <c r="G95" s="79" t="str">
        <f aca="false">IF($B95="","",SUMIFS('Data Piutang'!$J$8:$J$307,'Data Piutang'!$D$8:$D$307,$B95,'Data Piutang'!$M$8:$M$307,"Lebih dari 90 hari"))</f>
        <v/>
      </c>
      <c r="H95" s="80" t="str">
        <f aca="false">IF($B95="","",SUM($C95:$G95))</f>
        <v/>
      </c>
      <c r="I95" s="81" t="str">
        <f aca="false">IF(OR($B95="",$H$112=0),"",$H95/$H$112)</f>
        <v/>
      </c>
    </row>
    <row r="96" customFormat="false" ht="15" hidden="false" customHeight="true" outlineLevel="0" collapsed="false">
      <c r="A96" s="73" t="str">
        <f aca="false">IF($B96="","",COUNTA($B$12:$B96))</f>
        <v/>
      </c>
      <c r="B96" s="74" t="str">
        <f aca="false">IF('Master Pelanggan'!$B90="","",'Master Pelanggan'!$B90)</f>
        <v/>
      </c>
      <c r="C96" s="75" t="str">
        <f aca="false">IF($B96="","",SUMIFS('Data Piutang'!$J$8:$J$307,'Data Piutang'!$D$8:$D$307,$B96,'Data Piutang'!$M$8:$M$307,"Belum Jatuh Tempo"))</f>
        <v/>
      </c>
      <c r="D96" s="75" t="str">
        <f aca="false">IF($B96="","",SUMIFS('Data Piutang'!$J$8:$J$307,'Data Piutang'!$D$8:$D$307,$B96,'Data Piutang'!$M$8:$M$307,"1-30 hari"))</f>
        <v/>
      </c>
      <c r="E96" s="75" t="str">
        <f aca="false">IF($B96="","",SUMIFS('Data Piutang'!$J$8:$J$307,'Data Piutang'!$D$8:$D$307,$B96,'Data Piutang'!$M$8:$M$307,"31-60 hari"))</f>
        <v/>
      </c>
      <c r="F96" s="75" t="str">
        <f aca="false">IF($B96="","",SUMIFS('Data Piutang'!$J$8:$J$307,'Data Piutang'!$D$8:$D$307,$B96,'Data Piutang'!$M$8:$M$307,"61-90 hari"))</f>
        <v/>
      </c>
      <c r="G96" s="75" t="str">
        <f aca="false">IF($B96="","",SUMIFS('Data Piutang'!$J$8:$J$307,'Data Piutang'!$D$8:$D$307,$B96,'Data Piutang'!$M$8:$M$307,"Lebih dari 90 hari"))</f>
        <v/>
      </c>
      <c r="H96" s="76" t="str">
        <f aca="false">IF($B96="","",SUM($C96:$G96))</f>
        <v/>
      </c>
      <c r="I96" s="77" t="str">
        <f aca="false">IF(OR($B96="",$H$112=0),"",$H96/$H$112)</f>
        <v/>
      </c>
    </row>
    <row r="97" customFormat="false" ht="15" hidden="false" customHeight="true" outlineLevel="0" collapsed="false">
      <c r="A97" s="18" t="str">
        <f aca="false">IF($B97="","",COUNTA($B$12:$B97))</f>
        <v/>
      </c>
      <c r="B97" s="78" t="str">
        <f aca="false">IF('Master Pelanggan'!$B91="","",'Master Pelanggan'!$B91)</f>
        <v/>
      </c>
      <c r="C97" s="79" t="str">
        <f aca="false">IF($B97="","",SUMIFS('Data Piutang'!$J$8:$J$307,'Data Piutang'!$D$8:$D$307,$B97,'Data Piutang'!$M$8:$M$307,"Belum Jatuh Tempo"))</f>
        <v/>
      </c>
      <c r="D97" s="79" t="str">
        <f aca="false">IF($B97="","",SUMIFS('Data Piutang'!$J$8:$J$307,'Data Piutang'!$D$8:$D$307,$B97,'Data Piutang'!$M$8:$M$307,"1-30 hari"))</f>
        <v/>
      </c>
      <c r="E97" s="79" t="str">
        <f aca="false">IF($B97="","",SUMIFS('Data Piutang'!$J$8:$J$307,'Data Piutang'!$D$8:$D$307,$B97,'Data Piutang'!$M$8:$M$307,"31-60 hari"))</f>
        <v/>
      </c>
      <c r="F97" s="79" t="str">
        <f aca="false">IF($B97="","",SUMIFS('Data Piutang'!$J$8:$J$307,'Data Piutang'!$D$8:$D$307,$B97,'Data Piutang'!$M$8:$M$307,"61-90 hari"))</f>
        <v/>
      </c>
      <c r="G97" s="79" t="str">
        <f aca="false">IF($B97="","",SUMIFS('Data Piutang'!$J$8:$J$307,'Data Piutang'!$D$8:$D$307,$B97,'Data Piutang'!$M$8:$M$307,"Lebih dari 90 hari"))</f>
        <v/>
      </c>
      <c r="H97" s="80" t="str">
        <f aca="false">IF($B97="","",SUM($C97:$G97))</f>
        <v/>
      </c>
      <c r="I97" s="81" t="str">
        <f aca="false">IF(OR($B97="",$H$112=0),"",$H97/$H$112)</f>
        <v/>
      </c>
    </row>
    <row r="98" customFormat="false" ht="15" hidden="false" customHeight="true" outlineLevel="0" collapsed="false">
      <c r="A98" s="73" t="str">
        <f aca="false">IF($B98="","",COUNTA($B$12:$B98))</f>
        <v/>
      </c>
      <c r="B98" s="74" t="str">
        <f aca="false">IF('Master Pelanggan'!$B92="","",'Master Pelanggan'!$B92)</f>
        <v/>
      </c>
      <c r="C98" s="75" t="str">
        <f aca="false">IF($B98="","",SUMIFS('Data Piutang'!$J$8:$J$307,'Data Piutang'!$D$8:$D$307,$B98,'Data Piutang'!$M$8:$M$307,"Belum Jatuh Tempo"))</f>
        <v/>
      </c>
      <c r="D98" s="75" t="str">
        <f aca="false">IF($B98="","",SUMIFS('Data Piutang'!$J$8:$J$307,'Data Piutang'!$D$8:$D$307,$B98,'Data Piutang'!$M$8:$M$307,"1-30 hari"))</f>
        <v/>
      </c>
      <c r="E98" s="75" t="str">
        <f aca="false">IF($B98="","",SUMIFS('Data Piutang'!$J$8:$J$307,'Data Piutang'!$D$8:$D$307,$B98,'Data Piutang'!$M$8:$M$307,"31-60 hari"))</f>
        <v/>
      </c>
      <c r="F98" s="75" t="str">
        <f aca="false">IF($B98="","",SUMIFS('Data Piutang'!$J$8:$J$307,'Data Piutang'!$D$8:$D$307,$B98,'Data Piutang'!$M$8:$M$307,"61-90 hari"))</f>
        <v/>
      </c>
      <c r="G98" s="75" t="str">
        <f aca="false">IF($B98="","",SUMIFS('Data Piutang'!$J$8:$J$307,'Data Piutang'!$D$8:$D$307,$B98,'Data Piutang'!$M$8:$M$307,"Lebih dari 90 hari"))</f>
        <v/>
      </c>
      <c r="H98" s="76" t="str">
        <f aca="false">IF($B98="","",SUM($C98:$G98))</f>
        <v/>
      </c>
      <c r="I98" s="77" t="str">
        <f aca="false">IF(OR($B98="",$H$112=0),"",$H98/$H$112)</f>
        <v/>
      </c>
    </row>
    <row r="99" customFormat="false" ht="15" hidden="false" customHeight="true" outlineLevel="0" collapsed="false">
      <c r="A99" s="18" t="str">
        <f aca="false">IF($B99="","",COUNTA($B$12:$B99))</f>
        <v/>
      </c>
      <c r="B99" s="78" t="str">
        <f aca="false">IF('Master Pelanggan'!$B93="","",'Master Pelanggan'!$B93)</f>
        <v/>
      </c>
      <c r="C99" s="79" t="str">
        <f aca="false">IF($B99="","",SUMIFS('Data Piutang'!$J$8:$J$307,'Data Piutang'!$D$8:$D$307,$B99,'Data Piutang'!$M$8:$M$307,"Belum Jatuh Tempo"))</f>
        <v/>
      </c>
      <c r="D99" s="79" t="str">
        <f aca="false">IF($B99="","",SUMIFS('Data Piutang'!$J$8:$J$307,'Data Piutang'!$D$8:$D$307,$B99,'Data Piutang'!$M$8:$M$307,"1-30 hari"))</f>
        <v/>
      </c>
      <c r="E99" s="79" t="str">
        <f aca="false">IF($B99="","",SUMIFS('Data Piutang'!$J$8:$J$307,'Data Piutang'!$D$8:$D$307,$B99,'Data Piutang'!$M$8:$M$307,"31-60 hari"))</f>
        <v/>
      </c>
      <c r="F99" s="79" t="str">
        <f aca="false">IF($B99="","",SUMIFS('Data Piutang'!$J$8:$J$307,'Data Piutang'!$D$8:$D$307,$B99,'Data Piutang'!$M$8:$M$307,"61-90 hari"))</f>
        <v/>
      </c>
      <c r="G99" s="79" t="str">
        <f aca="false">IF($B99="","",SUMIFS('Data Piutang'!$J$8:$J$307,'Data Piutang'!$D$8:$D$307,$B99,'Data Piutang'!$M$8:$M$307,"Lebih dari 90 hari"))</f>
        <v/>
      </c>
      <c r="H99" s="80" t="str">
        <f aca="false">IF($B99="","",SUM($C99:$G99))</f>
        <v/>
      </c>
      <c r="I99" s="81" t="str">
        <f aca="false">IF(OR($B99="",$H$112=0),"",$H99/$H$112)</f>
        <v/>
      </c>
    </row>
    <row r="100" customFormat="false" ht="15" hidden="false" customHeight="true" outlineLevel="0" collapsed="false">
      <c r="A100" s="73" t="str">
        <f aca="false">IF($B100="","",COUNTA($B$12:$B100))</f>
        <v/>
      </c>
      <c r="B100" s="74" t="str">
        <f aca="false">IF('Master Pelanggan'!$B94="","",'Master Pelanggan'!$B94)</f>
        <v/>
      </c>
      <c r="C100" s="75" t="str">
        <f aca="false">IF($B100="","",SUMIFS('Data Piutang'!$J$8:$J$307,'Data Piutang'!$D$8:$D$307,$B100,'Data Piutang'!$M$8:$M$307,"Belum Jatuh Tempo"))</f>
        <v/>
      </c>
      <c r="D100" s="75" t="str">
        <f aca="false">IF($B100="","",SUMIFS('Data Piutang'!$J$8:$J$307,'Data Piutang'!$D$8:$D$307,$B100,'Data Piutang'!$M$8:$M$307,"1-30 hari"))</f>
        <v/>
      </c>
      <c r="E100" s="75" t="str">
        <f aca="false">IF($B100="","",SUMIFS('Data Piutang'!$J$8:$J$307,'Data Piutang'!$D$8:$D$307,$B100,'Data Piutang'!$M$8:$M$307,"31-60 hari"))</f>
        <v/>
      </c>
      <c r="F100" s="75" t="str">
        <f aca="false">IF($B100="","",SUMIFS('Data Piutang'!$J$8:$J$307,'Data Piutang'!$D$8:$D$307,$B100,'Data Piutang'!$M$8:$M$307,"61-90 hari"))</f>
        <v/>
      </c>
      <c r="G100" s="75" t="str">
        <f aca="false">IF($B100="","",SUMIFS('Data Piutang'!$J$8:$J$307,'Data Piutang'!$D$8:$D$307,$B100,'Data Piutang'!$M$8:$M$307,"Lebih dari 90 hari"))</f>
        <v/>
      </c>
      <c r="H100" s="76" t="str">
        <f aca="false">IF($B100="","",SUM($C100:$G100))</f>
        <v/>
      </c>
      <c r="I100" s="77" t="str">
        <f aca="false">IF(OR($B100="",$H$112=0),"",$H100/$H$112)</f>
        <v/>
      </c>
    </row>
    <row r="101" customFormat="false" ht="15" hidden="false" customHeight="true" outlineLevel="0" collapsed="false">
      <c r="A101" s="18" t="str">
        <f aca="false">IF($B101="","",COUNTA($B$12:$B101))</f>
        <v/>
      </c>
      <c r="B101" s="78" t="str">
        <f aca="false">IF('Master Pelanggan'!$B95="","",'Master Pelanggan'!$B95)</f>
        <v/>
      </c>
      <c r="C101" s="79" t="str">
        <f aca="false">IF($B101="","",SUMIFS('Data Piutang'!$J$8:$J$307,'Data Piutang'!$D$8:$D$307,$B101,'Data Piutang'!$M$8:$M$307,"Belum Jatuh Tempo"))</f>
        <v/>
      </c>
      <c r="D101" s="79" t="str">
        <f aca="false">IF($B101="","",SUMIFS('Data Piutang'!$J$8:$J$307,'Data Piutang'!$D$8:$D$307,$B101,'Data Piutang'!$M$8:$M$307,"1-30 hari"))</f>
        <v/>
      </c>
      <c r="E101" s="79" t="str">
        <f aca="false">IF($B101="","",SUMIFS('Data Piutang'!$J$8:$J$307,'Data Piutang'!$D$8:$D$307,$B101,'Data Piutang'!$M$8:$M$307,"31-60 hari"))</f>
        <v/>
      </c>
      <c r="F101" s="79" t="str">
        <f aca="false">IF($B101="","",SUMIFS('Data Piutang'!$J$8:$J$307,'Data Piutang'!$D$8:$D$307,$B101,'Data Piutang'!$M$8:$M$307,"61-90 hari"))</f>
        <v/>
      </c>
      <c r="G101" s="79" t="str">
        <f aca="false">IF($B101="","",SUMIFS('Data Piutang'!$J$8:$J$307,'Data Piutang'!$D$8:$D$307,$B101,'Data Piutang'!$M$8:$M$307,"Lebih dari 90 hari"))</f>
        <v/>
      </c>
      <c r="H101" s="80" t="str">
        <f aca="false">IF($B101="","",SUM($C101:$G101))</f>
        <v/>
      </c>
      <c r="I101" s="81" t="str">
        <f aca="false">IF(OR($B101="",$H$112=0),"",$H101/$H$112)</f>
        <v/>
      </c>
    </row>
    <row r="102" customFormat="false" ht="15" hidden="false" customHeight="true" outlineLevel="0" collapsed="false">
      <c r="A102" s="73" t="str">
        <f aca="false">IF($B102="","",COUNTA($B$12:$B102))</f>
        <v/>
      </c>
      <c r="B102" s="74" t="str">
        <f aca="false">IF('Master Pelanggan'!$B96="","",'Master Pelanggan'!$B96)</f>
        <v/>
      </c>
      <c r="C102" s="75" t="str">
        <f aca="false">IF($B102="","",SUMIFS('Data Piutang'!$J$8:$J$307,'Data Piutang'!$D$8:$D$307,$B102,'Data Piutang'!$M$8:$M$307,"Belum Jatuh Tempo"))</f>
        <v/>
      </c>
      <c r="D102" s="75" t="str">
        <f aca="false">IF($B102="","",SUMIFS('Data Piutang'!$J$8:$J$307,'Data Piutang'!$D$8:$D$307,$B102,'Data Piutang'!$M$8:$M$307,"1-30 hari"))</f>
        <v/>
      </c>
      <c r="E102" s="75" t="str">
        <f aca="false">IF($B102="","",SUMIFS('Data Piutang'!$J$8:$J$307,'Data Piutang'!$D$8:$D$307,$B102,'Data Piutang'!$M$8:$M$307,"31-60 hari"))</f>
        <v/>
      </c>
      <c r="F102" s="75" t="str">
        <f aca="false">IF($B102="","",SUMIFS('Data Piutang'!$J$8:$J$307,'Data Piutang'!$D$8:$D$307,$B102,'Data Piutang'!$M$8:$M$307,"61-90 hari"))</f>
        <v/>
      </c>
      <c r="G102" s="75" t="str">
        <f aca="false">IF($B102="","",SUMIFS('Data Piutang'!$J$8:$J$307,'Data Piutang'!$D$8:$D$307,$B102,'Data Piutang'!$M$8:$M$307,"Lebih dari 90 hari"))</f>
        <v/>
      </c>
      <c r="H102" s="76" t="str">
        <f aca="false">IF($B102="","",SUM($C102:$G102))</f>
        <v/>
      </c>
      <c r="I102" s="77" t="str">
        <f aca="false">IF(OR($B102="",$H$112=0),"",$H102/$H$112)</f>
        <v/>
      </c>
    </row>
    <row r="103" customFormat="false" ht="15" hidden="false" customHeight="true" outlineLevel="0" collapsed="false">
      <c r="A103" s="18" t="str">
        <f aca="false">IF($B103="","",COUNTA($B$12:$B103))</f>
        <v/>
      </c>
      <c r="B103" s="78" t="str">
        <f aca="false">IF('Master Pelanggan'!$B97="","",'Master Pelanggan'!$B97)</f>
        <v/>
      </c>
      <c r="C103" s="79" t="str">
        <f aca="false">IF($B103="","",SUMIFS('Data Piutang'!$J$8:$J$307,'Data Piutang'!$D$8:$D$307,$B103,'Data Piutang'!$M$8:$M$307,"Belum Jatuh Tempo"))</f>
        <v/>
      </c>
      <c r="D103" s="79" t="str">
        <f aca="false">IF($B103="","",SUMIFS('Data Piutang'!$J$8:$J$307,'Data Piutang'!$D$8:$D$307,$B103,'Data Piutang'!$M$8:$M$307,"1-30 hari"))</f>
        <v/>
      </c>
      <c r="E103" s="79" t="str">
        <f aca="false">IF($B103="","",SUMIFS('Data Piutang'!$J$8:$J$307,'Data Piutang'!$D$8:$D$307,$B103,'Data Piutang'!$M$8:$M$307,"31-60 hari"))</f>
        <v/>
      </c>
      <c r="F103" s="79" t="str">
        <f aca="false">IF($B103="","",SUMIFS('Data Piutang'!$J$8:$J$307,'Data Piutang'!$D$8:$D$307,$B103,'Data Piutang'!$M$8:$M$307,"61-90 hari"))</f>
        <v/>
      </c>
      <c r="G103" s="79" t="str">
        <f aca="false">IF($B103="","",SUMIFS('Data Piutang'!$J$8:$J$307,'Data Piutang'!$D$8:$D$307,$B103,'Data Piutang'!$M$8:$M$307,"Lebih dari 90 hari"))</f>
        <v/>
      </c>
      <c r="H103" s="80" t="str">
        <f aca="false">IF($B103="","",SUM($C103:$G103))</f>
        <v/>
      </c>
      <c r="I103" s="81" t="str">
        <f aca="false">IF(OR($B103="",$H$112=0),"",$H103/$H$112)</f>
        <v/>
      </c>
    </row>
    <row r="104" customFormat="false" ht="15" hidden="false" customHeight="true" outlineLevel="0" collapsed="false">
      <c r="A104" s="73" t="str">
        <f aca="false">IF($B104="","",COUNTA($B$12:$B104))</f>
        <v/>
      </c>
      <c r="B104" s="74" t="str">
        <f aca="false">IF('Master Pelanggan'!$B98="","",'Master Pelanggan'!$B98)</f>
        <v/>
      </c>
      <c r="C104" s="75" t="str">
        <f aca="false">IF($B104="","",SUMIFS('Data Piutang'!$J$8:$J$307,'Data Piutang'!$D$8:$D$307,$B104,'Data Piutang'!$M$8:$M$307,"Belum Jatuh Tempo"))</f>
        <v/>
      </c>
      <c r="D104" s="75" t="str">
        <f aca="false">IF($B104="","",SUMIFS('Data Piutang'!$J$8:$J$307,'Data Piutang'!$D$8:$D$307,$B104,'Data Piutang'!$M$8:$M$307,"1-30 hari"))</f>
        <v/>
      </c>
      <c r="E104" s="75" t="str">
        <f aca="false">IF($B104="","",SUMIFS('Data Piutang'!$J$8:$J$307,'Data Piutang'!$D$8:$D$307,$B104,'Data Piutang'!$M$8:$M$307,"31-60 hari"))</f>
        <v/>
      </c>
      <c r="F104" s="75" t="str">
        <f aca="false">IF($B104="","",SUMIFS('Data Piutang'!$J$8:$J$307,'Data Piutang'!$D$8:$D$307,$B104,'Data Piutang'!$M$8:$M$307,"61-90 hari"))</f>
        <v/>
      </c>
      <c r="G104" s="75" t="str">
        <f aca="false">IF($B104="","",SUMIFS('Data Piutang'!$J$8:$J$307,'Data Piutang'!$D$8:$D$307,$B104,'Data Piutang'!$M$8:$M$307,"Lebih dari 90 hari"))</f>
        <v/>
      </c>
      <c r="H104" s="76" t="str">
        <f aca="false">IF($B104="","",SUM($C104:$G104))</f>
        <v/>
      </c>
      <c r="I104" s="77" t="str">
        <f aca="false">IF(OR($B104="",$H$112=0),"",$H104/$H$112)</f>
        <v/>
      </c>
    </row>
    <row r="105" customFormat="false" ht="15" hidden="false" customHeight="true" outlineLevel="0" collapsed="false">
      <c r="A105" s="18" t="str">
        <f aca="false">IF($B105="","",COUNTA($B$12:$B105))</f>
        <v/>
      </c>
      <c r="B105" s="78" t="str">
        <f aca="false">IF('Master Pelanggan'!$B99="","",'Master Pelanggan'!$B99)</f>
        <v/>
      </c>
      <c r="C105" s="79" t="str">
        <f aca="false">IF($B105="","",SUMIFS('Data Piutang'!$J$8:$J$307,'Data Piutang'!$D$8:$D$307,$B105,'Data Piutang'!$M$8:$M$307,"Belum Jatuh Tempo"))</f>
        <v/>
      </c>
      <c r="D105" s="79" t="str">
        <f aca="false">IF($B105="","",SUMIFS('Data Piutang'!$J$8:$J$307,'Data Piutang'!$D$8:$D$307,$B105,'Data Piutang'!$M$8:$M$307,"1-30 hari"))</f>
        <v/>
      </c>
      <c r="E105" s="79" t="str">
        <f aca="false">IF($B105="","",SUMIFS('Data Piutang'!$J$8:$J$307,'Data Piutang'!$D$8:$D$307,$B105,'Data Piutang'!$M$8:$M$307,"31-60 hari"))</f>
        <v/>
      </c>
      <c r="F105" s="79" t="str">
        <f aca="false">IF($B105="","",SUMIFS('Data Piutang'!$J$8:$J$307,'Data Piutang'!$D$8:$D$307,$B105,'Data Piutang'!$M$8:$M$307,"61-90 hari"))</f>
        <v/>
      </c>
      <c r="G105" s="79" t="str">
        <f aca="false">IF($B105="","",SUMIFS('Data Piutang'!$J$8:$J$307,'Data Piutang'!$D$8:$D$307,$B105,'Data Piutang'!$M$8:$M$307,"Lebih dari 90 hari"))</f>
        <v/>
      </c>
      <c r="H105" s="80" t="str">
        <f aca="false">IF($B105="","",SUM($C105:$G105))</f>
        <v/>
      </c>
      <c r="I105" s="81" t="str">
        <f aca="false">IF(OR($B105="",$H$112=0),"",$H105/$H$112)</f>
        <v/>
      </c>
    </row>
    <row r="106" customFormat="false" ht="15" hidden="false" customHeight="true" outlineLevel="0" collapsed="false">
      <c r="A106" s="73" t="str">
        <f aca="false">IF($B106="","",COUNTA($B$12:$B106))</f>
        <v/>
      </c>
      <c r="B106" s="74" t="str">
        <f aca="false">IF('Master Pelanggan'!$B100="","",'Master Pelanggan'!$B100)</f>
        <v/>
      </c>
      <c r="C106" s="75" t="str">
        <f aca="false">IF($B106="","",SUMIFS('Data Piutang'!$J$8:$J$307,'Data Piutang'!$D$8:$D$307,$B106,'Data Piutang'!$M$8:$M$307,"Belum Jatuh Tempo"))</f>
        <v/>
      </c>
      <c r="D106" s="75" t="str">
        <f aca="false">IF($B106="","",SUMIFS('Data Piutang'!$J$8:$J$307,'Data Piutang'!$D$8:$D$307,$B106,'Data Piutang'!$M$8:$M$307,"1-30 hari"))</f>
        <v/>
      </c>
      <c r="E106" s="75" t="str">
        <f aca="false">IF($B106="","",SUMIFS('Data Piutang'!$J$8:$J$307,'Data Piutang'!$D$8:$D$307,$B106,'Data Piutang'!$M$8:$M$307,"31-60 hari"))</f>
        <v/>
      </c>
      <c r="F106" s="75" t="str">
        <f aca="false">IF($B106="","",SUMIFS('Data Piutang'!$J$8:$J$307,'Data Piutang'!$D$8:$D$307,$B106,'Data Piutang'!$M$8:$M$307,"61-90 hari"))</f>
        <v/>
      </c>
      <c r="G106" s="75" t="str">
        <f aca="false">IF($B106="","",SUMIFS('Data Piutang'!$J$8:$J$307,'Data Piutang'!$D$8:$D$307,$B106,'Data Piutang'!$M$8:$M$307,"Lebih dari 90 hari"))</f>
        <v/>
      </c>
      <c r="H106" s="76" t="str">
        <f aca="false">IF($B106="","",SUM($C106:$G106))</f>
        <v/>
      </c>
      <c r="I106" s="77" t="str">
        <f aca="false">IF(OR($B106="",$H$112=0),"",$H106/$H$112)</f>
        <v/>
      </c>
    </row>
    <row r="107" customFormat="false" ht="15" hidden="false" customHeight="true" outlineLevel="0" collapsed="false">
      <c r="A107" s="18" t="str">
        <f aca="false">IF($B107="","",COUNTA($B$12:$B107))</f>
        <v/>
      </c>
      <c r="B107" s="78" t="str">
        <f aca="false">IF('Master Pelanggan'!$B101="","",'Master Pelanggan'!$B101)</f>
        <v/>
      </c>
      <c r="C107" s="79" t="str">
        <f aca="false">IF($B107="","",SUMIFS('Data Piutang'!$J$8:$J$307,'Data Piutang'!$D$8:$D$307,$B107,'Data Piutang'!$M$8:$M$307,"Belum Jatuh Tempo"))</f>
        <v/>
      </c>
      <c r="D107" s="79" t="str">
        <f aca="false">IF($B107="","",SUMIFS('Data Piutang'!$J$8:$J$307,'Data Piutang'!$D$8:$D$307,$B107,'Data Piutang'!$M$8:$M$307,"1-30 hari"))</f>
        <v/>
      </c>
      <c r="E107" s="79" t="str">
        <f aca="false">IF($B107="","",SUMIFS('Data Piutang'!$J$8:$J$307,'Data Piutang'!$D$8:$D$307,$B107,'Data Piutang'!$M$8:$M$307,"31-60 hari"))</f>
        <v/>
      </c>
      <c r="F107" s="79" t="str">
        <f aca="false">IF($B107="","",SUMIFS('Data Piutang'!$J$8:$J$307,'Data Piutang'!$D$8:$D$307,$B107,'Data Piutang'!$M$8:$M$307,"61-90 hari"))</f>
        <v/>
      </c>
      <c r="G107" s="79" t="str">
        <f aca="false">IF($B107="","",SUMIFS('Data Piutang'!$J$8:$J$307,'Data Piutang'!$D$8:$D$307,$B107,'Data Piutang'!$M$8:$M$307,"Lebih dari 90 hari"))</f>
        <v/>
      </c>
      <c r="H107" s="80" t="str">
        <f aca="false">IF($B107="","",SUM($C107:$G107))</f>
        <v/>
      </c>
      <c r="I107" s="81" t="str">
        <f aca="false">IF(OR($B107="",$H$112=0),"",$H107/$H$112)</f>
        <v/>
      </c>
    </row>
    <row r="108" customFormat="false" ht="15" hidden="false" customHeight="true" outlineLevel="0" collapsed="false">
      <c r="A108" s="73" t="str">
        <f aca="false">IF($B108="","",COUNTA($B$12:$B108))</f>
        <v/>
      </c>
      <c r="B108" s="74" t="str">
        <f aca="false">IF('Master Pelanggan'!$B102="","",'Master Pelanggan'!$B102)</f>
        <v/>
      </c>
      <c r="C108" s="75" t="str">
        <f aca="false">IF($B108="","",SUMIFS('Data Piutang'!$J$8:$J$307,'Data Piutang'!$D$8:$D$307,$B108,'Data Piutang'!$M$8:$M$307,"Belum Jatuh Tempo"))</f>
        <v/>
      </c>
      <c r="D108" s="75" t="str">
        <f aca="false">IF($B108="","",SUMIFS('Data Piutang'!$J$8:$J$307,'Data Piutang'!$D$8:$D$307,$B108,'Data Piutang'!$M$8:$M$307,"1-30 hari"))</f>
        <v/>
      </c>
      <c r="E108" s="75" t="str">
        <f aca="false">IF($B108="","",SUMIFS('Data Piutang'!$J$8:$J$307,'Data Piutang'!$D$8:$D$307,$B108,'Data Piutang'!$M$8:$M$307,"31-60 hari"))</f>
        <v/>
      </c>
      <c r="F108" s="75" t="str">
        <f aca="false">IF($B108="","",SUMIFS('Data Piutang'!$J$8:$J$307,'Data Piutang'!$D$8:$D$307,$B108,'Data Piutang'!$M$8:$M$307,"61-90 hari"))</f>
        <v/>
      </c>
      <c r="G108" s="75" t="str">
        <f aca="false">IF($B108="","",SUMIFS('Data Piutang'!$J$8:$J$307,'Data Piutang'!$D$8:$D$307,$B108,'Data Piutang'!$M$8:$M$307,"Lebih dari 90 hari"))</f>
        <v/>
      </c>
      <c r="H108" s="76" t="str">
        <f aca="false">IF($B108="","",SUM($C108:$G108))</f>
        <v/>
      </c>
      <c r="I108" s="77" t="str">
        <f aca="false">IF(OR($B108="",$H$112=0),"",$H108/$H$112)</f>
        <v/>
      </c>
    </row>
    <row r="109" customFormat="false" ht="15" hidden="false" customHeight="true" outlineLevel="0" collapsed="false">
      <c r="A109" s="18" t="str">
        <f aca="false">IF($B109="","",COUNTA($B$12:$B109))</f>
        <v/>
      </c>
      <c r="B109" s="78" t="str">
        <f aca="false">IF('Master Pelanggan'!$B103="","",'Master Pelanggan'!$B103)</f>
        <v/>
      </c>
      <c r="C109" s="79" t="str">
        <f aca="false">IF($B109="","",SUMIFS('Data Piutang'!$J$8:$J$307,'Data Piutang'!$D$8:$D$307,$B109,'Data Piutang'!$M$8:$M$307,"Belum Jatuh Tempo"))</f>
        <v/>
      </c>
      <c r="D109" s="79" t="str">
        <f aca="false">IF($B109="","",SUMIFS('Data Piutang'!$J$8:$J$307,'Data Piutang'!$D$8:$D$307,$B109,'Data Piutang'!$M$8:$M$307,"1-30 hari"))</f>
        <v/>
      </c>
      <c r="E109" s="79" t="str">
        <f aca="false">IF($B109="","",SUMIFS('Data Piutang'!$J$8:$J$307,'Data Piutang'!$D$8:$D$307,$B109,'Data Piutang'!$M$8:$M$307,"31-60 hari"))</f>
        <v/>
      </c>
      <c r="F109" s="79" t="str">
        <f aca="false">IF($B109="","",SUMIFS('Data Piutang'!$J$8:$J$307,'Data Piutang'!$D$8:$D$307,$B109,'Data Piutang'!$M$8:$M$307,"61-90 hari"))</f>
        <v/>
      </c>
      <c r="G109" s="79" t="str">
        <f aca="false">IF($B109="","",SUMIFS('Data Piutang'!$J$8:$J$307,'Data Piutang'!$D$8:$D$307,$B109,'Data Piutang'!$M$8:$M$307,"Lebih dari 90 hari"))</f>
        <v/>
      </c>
      <c r="H109" s="80" t="str">
        <f aca="false">IF($B109="","",SUM($C109:$G109))</f>
        <v/>
      </c>
      <c r="I109" s="81" t="str">
        <f aca="false">IF(OR($B109="",$H$112=0),"",$H109/$H$112)</f>
        <v/>
      </c>
    </row>
    <row r="110" customFormat="false" ht="15" hidden="false" customHeight="true" outlineLevel="0" collapsed="false">
      <c r="A110" s="73" t="str">
        <f aca="false">IF($B110="","",COUNTA($B$12:$B110))</f>
        <v/>
      </c>
      <c r="B110" s="74" t="str">
        <f aca="false">IF('Master Pelanggan'!$B104="","",'Master Pelanggan'!$B104)</f>
        <v/>
      </c>
      <c r="C110" s="75" t="str">
        <f aca="false">IF($B110="","",SUMIFS('Data Piutang'!$J$8:$J$307,'Data Piutang'!$D$8:$D$307,$B110,'Data Piutang'!$M$8:$M$307,"Belum Jatuh Tempo"))</f>
        <v/>
      </c>
      <c r="D110" s="75" t="str">
        <f aca="false">IF($B110="","",SUMIFS('Data Piutang'!$J$8:$J$307,'Data Piutang'!$D$8:$D$307,$B110,'Data Piutang'!$M$8:$M$307,"1-30 hari"))</f>
        <v/>
      </c>
      <c r="E110" s="75" t="str">
        <f aca="false">IF($B110="","",SUMIFS('Data Piutang'!$J$8:$J$307,'Data Piutang'!$D$8:$D$307,$B110,'Data Piutang'!$M$8:$M$307,"31-60 hari"))</f>
        <v/>
      </c>
      <c r="F110" s="75" t="str">
        <f aca="false">IF($B110="","",SUMIFS('Data Piutang'!$J$8:$J$307,'Data Piutang'!$D$8:$D$307,$B110,'Data Piutang'!$M$8:$M$307,"61-90 hari"))</f>
        <v/>
      </c>
      <c r="G110" s="75" t="str">
        <f aca="false">IF($B110="","",SUMIFS('Data Piutang'!$J$8:$J$307,'Data Piutang'!$D$8:$D$307,$B110,'Data Piutang'!$M$8:$M$307,"Lebih dari 90 hari"))</f>
        <v/>
      </c>
      <c r="H110" s="76" t="str">
        <f aca="false">IF($B110="","",SUM($C110:$G110))</f>
        <v/>
      </c>
      <c r="I110" s="77" t="str">
        <f aca="false">IF(OR($B110="",$H$112=0),"",$H110/$H$112)</f>
        <v/>
      </c>
    </row>
    <row r="111" customFormat="false" ht="15" hidden="false" customHeight="true" outlineLevel="0" collapsed="false">
      <c r="A111" s="18" t="str">
        <f aca="false">IF($B111="","",COUNTA($B$12:$B111))</f>
        <v/>
      </c>
      <c r="B111" s="78" t="str">
        <f aca="false">IF('Master Pelanggan'!$B105="","",'Master Pelanggan'!$B105)</f>
        <v/>
      </c>
      <c r="C111" s="79" t="str">
        <f aca="false">IF($B111="","",SUMIFS('Data Piutang'!$J$8:$J$307,'Data Piutang'!$D$8:$D$307,$B111,'Data Piutang'!$M$8:$M$307,"Belum Jatuh Tempo"))</f>
        <v/>
      </c>
      <c r="D111" s="79" t="str">
        <f aca="false">IF($B111="","",SUMIFS('Data Piutang'!$J$8:$J$307,'Data Piutang'!$D$8:$D$307,$B111,'Data Piutang'!$M$8:$M$307,"1-30 hari"))</f>
        <v/>
      </c>
      <c r="E111" s="79" t="str">
        <f aca="false">IF($B111="","",SUMIFS('Data Piutang'!$J$8:$J$307,'Data Piutang'!$D$8:$D$307,$B111,'Data Piutang'!$M$8:$M$307,"31-60 hari"))</f>
        <v/>
      </c>
      <c r="F111" s="79" t="str">
        <f aca="false">IF($B111="","",SUMIFS('Data Piutang'!$J$8:$J$307,'Data Piutang'!$D$8:$D$307,$B111,'Data Piutang'!$M$8:$M$307,"61-90 hari"))</f>
        <v/>
      </c>
      <c r="G111" s="79" t="str">
        <f aca="false">IF($B111="","",SUMIFS('Data Piutang'!$J$8:$J$307,'Data Piutang'!$D$8:$D$307,$B111,'Data Piutang'!$M$8:$M$307,"Lebih dari 90 hari"))</f>
        <v/>
      </c>
      <c r="H111" s="80" t="str">
        <f aca="false">IF($B111="","",SUM($C111:$G111))</f>
        <v/>
      </c>
      <c r="I111" s="81" t="str">
        <f aca="false">IF(OR($B111="",$H$112=0),"",$H111/$H$112)</f>
        <v/>
      </c>
    </row>
    <row r="112" customFormat="false" ht="21.75" hidden="false" customHeight="true" outlineLevel="0" collapsed="false">
      <c r="A112" s="49" t="s">
        <v>102</v>
      </c>
      <c r="B112" s="49"/>
      <c r="C112" s="50" t="n">
        <f aca="false">SUM(C12:C111)</f>
        <v>38020000</v>
      </c>
      <c r="D112" s="50" t="n">
        <f aca="false">SUM(D12:D111)</f>
        <v>0</v>
      </c>
      <c r="E112" s="50" t="n">
        <f aca="false">SUM(E12:E111)</f>
        <v>7740000</v>
      </c>
      <c r="F112" s="50" t="n">
        <f aca="false">SUM(F12:F111)</f>
        <v>0</v>
      </c>
      <c r="G112" s="50" t="n">
        <f aca="false">SUM(G12:G111)</f>
        <v>0</v>
      </c>
      <c r="H112" s="50" t="n">
        <f aca="false">SUM($H$12:$H$111)</f>
        <v>45760000</v>
      </c>
      <c r="I112" s="82" t="n">
        <f aca="false">IF($H$112=0,"",1)</f>
        <v>1</v>
      </c>
    </row>
    <row r="113" customFormat="false" ht="15" hidden="false" customHeight="true" outlineLevel="0" collapsed="false">
      <c r="A113" s="21"/>
      <c r="B113" s="83"/>
      <c r="C113" s="21"/>
      <c r="D113" s="21"/>
      <c r="E113" s="21"/>
      <c r="F113" s="21"/>
      <c r="G113" s="21"/>
      <c r="H113" s="21"/>
      <c r="I113" s="21"/>
    </row>
    <row r="114" customFormat="false" ht="15" hidden="false" customHeight="true" outlineLevel="0" collapsed="false">
      <c r="A114" s="21"/>
      <c r="B114" s="84" t="s">
        <v>116</v>
      </c>
      <c r="C114" s="84"/>
      <c r="D114" s="84"/>
      <c r="E114" s="84"/>
      <c r="F114" s="84"/>
      <c r="G114" s="84"/>
      <c r="H114" s="84"/>
      <c r="I114" s="84"/>
    </row>
    <row r="115" customFormat="false" ht="15" hidden="false" customHeight="true" outlineLevel="0" collapsed="false">
      <c r="A115" s="21"/>
      <c r="B115" s="84"/>
      <c r="C115" s="84"/>
      <c r="D115" s="84"/>
      <c r="E115" s="84"/>
      <c r="F115" s="84"/>
      <c r="G115" s="84"/>
      <c r="H115" s="84"/>
      <c r="I115" s="84"/>
    </row>
  </sheetData>
  <mergeCells count="6">
    <mergeCell ref="A1:I1"/>
    <mergeCell ref="A2:I2"/>
    <mergeCell ref="B4:I4"/>
    <mergeCell ref="B9:F9"/>
    <mergeCell ref="A112:B112"/>
    <mergeCell ref="B114:I115"/>
  </mergeCells>
  <conditionalFormatting sqref="B9:G9">
    <cfRule type="cellIs" priority="2" operator="greaterThan" aboveAverage="0" equalAverage="0" bottom="0" percent="0" rank="0" text="" dxfId="20">
      <formula>0</formula>
    </cfRule>
    <cfRule type="cellIs" priority="3" operator="equal" aboveAverage="0" equalAverage="0" bottom="0" percent="0" rank="0" text="" dxfId="25">
      <formula>0</formula>
    </cfRule>
  </conditionalFormatting>
  <printOptions headings="false" gridLines="false" gridLinesSet="true" horizontalCentered="true" verticalCentered="false"/>
  <pageMargins left="0.4" right="0.4" top="0.5" bottom="0.5" header="0.511811023622047" footer="0.511805555555556"/>
  <pageSetup paperSize="9" scale="100" fitToWidth="1" fitToHeight="0" pageOrder="downThenOver" orientation="landscape" blackAndWhite="false" draft="false" cellComments="none" horizontalDpi="300" verticalDpi="300" copies="1"/>
  <headerFooter differentFirst="false" differentOddEven="false">
    <oddHeader/>
    <oddFooter>&amp;L&amp;8 Kartu Piutang Umur Tagihan — Vita | Accurate Online&amp;R&amp;8 Halaman &amp;P dari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6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14"/>
    <col collapsed="false" customWidth="true" hidden="false" outlineLevel="0" max="3" min="3" style="1" width="26"/>
    <col collapsed="false" customWidth="true" hidden="false" outlineLevel="0" max="4" min="4" style="1" width="24"/>
    <col collapsed="false" customWidth="true" hidden="false" outlineLevel="0" max="5" min="5" style="1" width="16"/>
    <col collapsed="false" customWidth="true" hidden="false" outlineLevel="0" max="6" min="6" style="1" width="12"/>
    <col collapsed="false" customWidth="true" hidden="false" outlineLevel="0" max="7" min="7" style="1" width="17"/>
    <col collapsed="false" customWidth="true" hidden="false" outlineLevel="0" max="8" min="8" style="1" width="22"/>
  </cols>
  <sheetData>
    <row r="1" customFormat="false" ht="30" hidden="false" customHeight="true" outlineLevel="0" collapsed="false">
      <c r="A1" s="2" t="s">
        <v>117</v>
      </c>
      <c r="B1" s="2"/>
      <c r="C1" s="2"/>
      <c r="D1" s="2"/>
      <c r="E1" s="2"/>
      <c r="F1" s="2"/>
      <c r="G1" s="2"/>
      <c r="H1" s="2"/>
    </row>
    <row r="2" customFormat="false" ht="19.5" hidden="false" customHeight="true" outlineLevel="0" collapsed="false">
      <c r="A2" s="3" t="s">
        <v>118</v>
      </c>
      <c r="B2" s="3"/>
      <c r="C2" s="3"/>
      <c r="D2" s="3"/>
      <c r="E2" s="3"/>
      <c r="F2" s="3"/>
      <c r="G2" s="3"/>
      <c r="H2" s="3"/>
    </row>
    <row r="5" customFormat="false" ht="21.75" hidden="false" customHeight="true" outlineLevel="0" collapsed="false">
      <c r="A5" s="16" t="s">
        <v>119</v>
      </c>
      <c r="B5" s="16" t="s">
        <v>74</v>
      </c>
      <c r="C5" s="16" t="s">
        <v>75</v>
      </c>
      <c r="D5" s="16" t="s">
        <v>37</v>
      </c>
      <c r="E5" s="16" t="s">
        <v>81</v>
      </c>
      <c r="F5" s="16" t="s">
        <v>83</v>
      </c>
      <c r="G5" s="16" t="s">
        <v>84</v>
      </c>
      <c r="H5" s="16" t="s">
        <v>120</v>
      </c>
    </row>
    <row r="6" customFormat="false" ht="15" hidden="false" customHeight="true" outlineLevel="0" collapsed="false">
      <c r="A6" s="18" t="n">
        <f aca="false">IF($B6="","",1)</f>
        <v>1</v>
      </c>
      <c r="B6" s="18" t="str">
        <f aca="false">IFERROR(INDEX('Data Piutang'!$C$8:$C$307,MATCH(LARGE('Data Piutang'!$N$8:$N$307,1),'Data Piutang'!$N$8:$N$307,0)),"")</f>
        <v>INV-2601</v>
      </c>
      <c r="C6" s="78" t="str">
        <f aca="false">IF($B6="","",IFERROR(INDEX('Data Piutang'!$D$8:$D$307,MATCH(LARGE('Data Piutang'!$N$8:$N$307,1),'Data Piutang'!$N$8:$N$307,0)),""))</f>
        <v>Toko Berkah Jaya</v>
      </c>
      <c r="D6" s="85" t="str">
        <f aca="false">IF($C6="","",IFERROR(INDEX('Master Pelanggan'!$D$6:$D$105,MATCH($C6,'Master Pelanggan'!$B$6:$B$105,0)),"belum terdaftar"))</f>
        <v>0812-3456-7890</v>
      </c>
      <c r="E6" s="80" t="n">
        <f aca="false">IF($B6="","",IFERROR(INDEX('Data Piutang'!$J$8:$J$307,MATCH(LARGE('Data Piutang'!$N$8:$N$307,1),'Data Piutang'!$N$8:$N$307,0)),""))</f>
        <v>4800000</v>
      </c>
      <c r="F6" s="39" t="n">
        <f aca="false">IF($B6="","",IFERROR(INDEX('Data Piutang'!$L$8:$L$307,MATCH(LARGE('Data Piutang'!$N$8:$N$307,1),'Data Piutang'!$N$8:$N$307,0)),""))</f>
        <v>48</v>
      </c>
      <c r="G6" s="38" t="str">
        <f aca="false">IF($B6="","",IFERROR(INDEX('Data Piutang'!$M$8:$M$307,MATCH(LARGE('Data Piutang'!$N$8:$N$307,1),'Data Piutang'!$N$8:$N$307,0)),""))</f>
        <v>31-60 hari</v>
      </c>
      <c r="H6" s="86"/>
    </row>
    <row r="7" customFormat="false" ht="15" hidden="false" customHeight="true" outlineLevel="0" collapsed="false">
      <c r="A7" s="18" t="n">
        <f aca="false">IF($B7="","",2)</f>
        <v>2</v>
      </c>
      <c r="B7" s="18" t="str">
        <f aca="false">IFERROR(INDEX('Data Piutang'!$C$8:$C$307,MATCH(LARGE('Data Piutang'!$N$8:$N$307,2),'Data Piutang'!$N$8:$N$307,0)),"")</f>
        <v>INV-2607</v>
      </c>
      <c r="C7" s="78" t="str">
        <f aca="false">IF($B7="","",IFERROR(INDEX('Data Piutang'!$D$8:$D$307,MATCH(LARGE('Data Piutang'!$N$8:$N$307,2),'Data Piutang'!$N$8:$N$307,0)),""))</f>
        <v>Kios Melati</v>
      </c>
      <c r="D7" s="85" t="str">
        <f aca="false">IF($C7="","",IFERROR(INDEX('Master Pelanggan'!$D$6:$D$105,MATCH($C7,'Master Pelanggan'!$B$6:$B$105,0)),"belum terdaftar"))</f>
        <v>0821-3344-5566</v>
      </c>
      <c r="E7" s="80" t="n">
        <f aca="false">IF($B7="","",IFERROR(INDEX('Data Piutang'!$J$8:$J$307,MATCH(LARGE('Data Piutang'!$N$8:$N$307,2),'Data Piutang'!$N$8:$N$307,0)),""))</f>
        <v>2940000</v>
      </c>
      <c r="F7" s="39" t="n">
        <f aca="false">IF($B7="","",IFERROR(INDEX('Data Piutang'!$L$8:$L$307,MATCH(LARGE('Data Piutang'!$N$8:$N$307,2),'Data Piutang'!$N$8:$N$307,0)),""))</f>
        <v>41</v>
      </c>
      <c r="G7" s="38" t="str">
        <f aca="false">IF($B7="","",IFERROR(INDEX('Data Piutang'!$M$8:$M$307,MATCH(LARGE('Data Piutang'!$N$8:$N$307,2),'Data Piutang'!$N$8:$N$307,0)),""))</f>
        <v>31-60 hari</v>
      </c>
      <c r="H7" s="86"/>
    </row>
    <row r="8" customFormat="false" ht="15" hidden="false" customHeight="true" outlineLevel="0" collapsed="false">
      <c r="A8" s="18" t="str">
        <f aca="false">IF($B8="","",3)</f>
        <v/>
      </c>
      <c r="B8" s="18" t="str">
        <f aca="false">IFERROR(INDEX('Data Piutang'!$C$8:$C$307,MATCH(LARGE('Data Piutang'!$N$8:$N$307,3),'Data Piutang'!$N$8:$N$307,0)),"")</f>
        <v/>
      </c>
      <c r="C8" s="78" t="str">
        <f aca="false">IF($B8="","",IFERROR(INDEX('Data Piutang'!$D$8:$D$307,MATCH(LARGE('Data Piutang'!$N$8:$N$307,3),'Data Piutang'!$N$8:$N$307,0)),""))</f>
        <v/>
      </c>
      <c r="D8" s="85" t="str">
        <f aca="false">IF($C8="","",IFERROR(INDEX('Master Pelanggan'!$D$6:$D$105,MATCH($C8,'Master Pelanggan'!$B$6:$B$105,0)),"belum terdaftar"))</f>
        <v/>
      </c>
      <c r="E8" s="80" t="str">
        <f aca="false">IF($B8="","",IFERROR(INDEX('Data Piutang'!$J$8:$J$307,MATCH(LARGE('Data Piutang'!$N$8:$N$307,3),'Data Piutang'!$N$8:$N$307,0)),""))</f>
        <v/>
      </c>
      <c r="F8" s="18" t="str">
        <f aca="false">IF($B8="","",IFERROR(INDEX('Data Piutang'!$L$8:$L$307,MATCH(LARGE('Data Piutang'!$N$8:$N$307,3),'Data Piutang'!$N$8:$N$307,0)),""))</f>
        <v/>
      </c>
      <c r="G8" s="38" t="str">
        <f aca="false">IF($B8="","",IFERROR(INDEX('Data Piutang'!$M$8:$M$307,MATCH(LARGE('Data Piutang'!$N$8:$N$307,3),'Data Piutang'!$N$8:$N$307,0)),""))</f>
        <v/>
      </c>
      <c r="H8" s="86"/>
    </row>
    <row r="9" customFormat="false" ht="15" hidden="false" customHeight="true" outlineLevel="0" collapsed="false">
      <c r="A9" s="18" t="str">
        <f aca="false">IF($B9="","",4)</f>
        <v/>
      </c>
      <c r="B9" s="18" t="str">
        <f aca="false">IFERROR(INDEX('Data Piutang'!$C$8:$C$307,MATCH(LARGE('Data Piutang'!$N$8:$N$307,4),'Data Piutang'!$N$8:$N$307,0)),"")</f>
        <v/>
      </c>
      <c r="C9" s="78" t="str">
        <f aca="false">IF($B9="","",IFERROR(INDEX('Data Piutang'!$D$8:$D$307,MATCH(LARGE('Data Piutang'!$N$8:$N$307,4),'Data Piutang'!$N$8:$N$307,0)),""))</f>
        <v/>
      </c>
      <c r="D9" s="85" t="str">
        <f aca="false">IF($C9="","",IFERROR(INDEX('Master Pelanggan'!$D$6:$D$105,MATCH($C9,'Master Pelanggan'!$B$6:$B$105,0)),"belum terdaftar"))</f>
        <v/>
      </c>
      <c r="E9" s="80" t="str">
        <f aca="false">IF($B9="","",IFERROR(INDEX('Data Piutang'!$J$8:$J$307,MATCH(LARGE('Data Piutang'!$N$8:$N$307,4),'Data Piutang'!$N$8:$N$307,0)),""))</f>
        <v/>
      </c>
      <c r="F9" s="18" t="str">
        <f aca="false">IF($B9="","",IFERROR(INDEX('Data Piutang'!$L$8:$L$307,MATCH(LARGE('Data Piutang'!$N$8:$N$307,4),'Data Piutang'!$N$8:$N$307,0)),""))</f>
        <v/>
      </c>
      <c r="G9" s="38" t="str">
        <f aca="false">IF($B9="","",IFERROR(INDEX('Data Piutang'!$M$8:$M$307,MATCH(LARGE('Data Piutang'!$N$8:$N$307,4),'Data Piutang'!$N$8:$N$307,0)),""))</f>
        <v/>
      </c>
      <c r="H9" s="86"/>
    </row>
    <row r="10" customFormat="false" ht="15" hidden="false" customHeight="true" outlineLevel="0" collapsed="false">
      <c r="A10" s="18" t="str">
        <f aca="false">IF($B10="","",5)</f>
        <v/>
      </c>
      <c r="B10" s="18" t="str">
        <f aca="false">IFERROR(INDEX('Data Piutang'!$C$8:$C$307,MATCH(LARGE('Data Piutang'!$N$8:$N$307,5),'Data Piutang'!$N$8:$N$307,0)),"")</f>
        <v/>
      </c>
      <c r="C10" s="78" t="str">
        <f aca="false">IF($B10="","",IFERROR(INDEX('Data Piutang'!$D$8:$D$307,MATCH(LARGE('Data Piutang'!$N$8:$N$307,5),'Data Piutang'!$N$8:$N$307,0)),""))</f>
        <v/>
      </c>
      <c r="D10" s="85" t="str">
        <f aca="false">IF($C10="","",IFERROR(INDEX('Master Pelanggan'!$D$6:$D$105,MATCH($C10,'Master Pelanggan'!$B$6:$B$105,0)),"belum terdaftar"))</f>
        <v/>
      </c>
      <c r="E10" s="80" t="str">
        <f aca="false">IF($B10="","",IFERROR(INDEX('Data Piutang'!$J$8:$J$307,MATCH(LARGE('Data Piutang'!$N$8:$N$307,5),'Data Piutang'!$N$8:$N$307,0)),""))</f>
        <v/>
      </c>
      <c r="F10" s="18" t="str">
        <f aca="false">IF($B10="","",IFERROR(INDEX('Data Piutang'!$L$8:$L$307,MATCH(LARGE('Data Piutang'!$N$8:$N$307,5),'Data Piutang'!$N$8:$N$307,0)),""))</f>
        <v/>
      </c>
      <c r="G10" s="38" t="str">
        <f aca="false">IF($B10="","",IFERROR(INDEX('Data Piutang'!$M$8:$M$307,MATCH(LARGE('Data Piutang'!$N$8:$N$307,5),'Data Piutang'!$N$8:$N$307,0)),""))</f>
        <v/>
      </c>
      <c r="H10" s="86"/>
    </row>
    <row r="11" customFormat="false" ht="15" hidden="false" customHeight="true" outlineLevel="0" collapsed="false">
      <c r="A11" s="18" t="str">
        <f aca="false">IF($B11="","",6)</f>
        <v/>
      </c>
      <c r="B11" s="18" t="str">
        <f aca="false">IFERROR(INDEX('Data Piutang'!$C$8:$C$307,MATCH(LARGE('Data Piutang'!$N$8:$N$307,6),'Data Piutang'!$N$8:$N$307,0)),"")</f>
        <v/>
      </c>
      <c r="C11" s="78" t="str">
        <f aca="false">IF($B11="","",IFERROR(INDEX('Data Piutang'!$D$8:$D$307,MATCH(LARGE('Data Piutang'!$N$8:$N$307,6),'Data Piutang'!$N$8:$N$307,0)),""))</f>
        <v/>
      </c>
      <c r="D11" s="85" t="str">
        <f aca="false">IF($C11="","",IFERROR(INDEX('Master Pelanggan'!$D$6:$D$105,MATCH($C11,'Master Pelanggan'!$B$6:$B$105,0)),"belum terdaftar"))</f>
        <v/>
      </c>
      <c r="E11" s="80" t="str">
        <f aca="false">IF($B11="","",IFERROR(INDEX('Data Piutang'!$J$8:$J$307,MATCH(LARGE('Data Piutang'!$N$8:$N$307,6),'Data Piutang'!$N$8:$N$307,0)),""))</f>
        <v/>
      </c>
      <c r="F11" s="18" t="str">
        <f aca="false">IF($B11="","",IFERROR(INDEX('Data Piutang'!$L$8:$L$307,MATCH(LARGE('Data Piutang'!$N$8:$N$307,6),'Data Piutang'!$N$8:$N$307,0)),""))</f>
        <v/>
      </c>
      <c r="G11" s="38" t="str">
        <f aca="false">IF($B11="","",IFERROR(INDEX('Data Piutang'!$M$8:$M$307,MATCH(LARGE('Data Piutang'!$N$8:$N$307,6),'Data Piutang'!$N$8:$N$307,0)),""))</f>
        <v/>
      </c>
      <c r="H11" s="86"/>
    </row>
    <row r="12" customFormat="false" ht="15" hidden="false" customHeight="true" outlineLevel="0" collapsed="false">
      <c r="A12" s="18" t="str">
        <f aca="false">IF($B12="","",7)</f>
        <v/>
      </c>
      <c r="B12" s="18" t="str">
        <f aca="false">IFERROR(INDEX('Data Piutang'!$C$8:$C$307,MATCH(LARGE('Data Piutang'!$N$8:$N$307,7),'Data Piutang'!$N$8:$N$307,0)),"")</f>
        <v/>
      </c>
      <c r="C12" s="78" t="str">
        <f aca="false">IF($B12="","",IFERROR(INDEX('Data Piutang'!$D$8:$D$307,MATCH(LARGE('Data Piutang'!$N$8:$N$307,7),'Data Piutang'!$N$8:$N$307,0)),""))</f>
        <v/>
      </c>
      <c r="D12" s="85" t="str">
        <f aca="false">IF($C12="","",IFERROR(INDEX('Master Pelanggan'!$D$6:$D$105,MATCH($C12,'Master Pelanggan'!$B$6:$B$105,0)),"belum terdaftar"))</f>
        <v/>
      </c>
      <c r="E12" s="80" t="str">
        <f aca="false">IF($B12="","",IFERROR(INDEX('Data Piutang'!$J$8:$J$307,MATCH(LARGE('Data Piutang'!$N$8:$N$307,7),'Data Piutang'!$N$8:$N$307,0)),""))</f>
        <v/>
      </c>
      <c r="F12" s="18" t="str">
        <f aca="false">IF($B12="","",IFERROR(INDEX('Data Piutang'!$L$8:$L$307,MATCH(LARGE('Data Piutang'!$N$8:$N$307,7),'Data Piutang'!$N$8:$N$307,0)),""))</f>
        <v/>
      </c>
      <c r="G12" s="38" t="str">
        <f aca="false">IF($B12="","",IFERROR(INDEX('Data Piutang'!$M$8:$M$307,MATCH(LARGE('Data Piutang'!$N$8:$N$307,7),'Data Piutang'!$N$8:$N$307,0)),""))</f>
        <v/>
      </c>
      <c r="H12" s="86"/>
    </row>
    <row r="13" customFormat="false" ht="15" hidden="false" customHeight="true" outlineLevel="0" collapsed="false">
      <c r="A13" s="18" t="str">
        <f aca="false">IF($B13="","",8)</f>
        <v/>
      </c>
      <c r="B13" s="18" t="str">
        <f aca="false">IFERROR(INDEX('Data Piutang'!$C$8:$C$307,MATCH(LARGE('Data Piutang'!$N$8:$N$307,8),'Data Piutang'!$N$8:$N$307,0)),"")</f>
        <v/>
      </c>
      <c r="C13" s="78" t="str">
        <f aca="false">IF($B13="","",IFERROR(INDEX('Data Piutang'!$D$8:$D$307,MATCH(LARGE('Data Piutang'!$N$8:$N$307,8),'Data Piutang'!$N$8:$N$307,0)),""))</f>
        <v/>
      </c>
      <c r="D13" s="85" t="str">
        <f aca="false">IF($C13="","",IFERROR(INDEX('Master Pelanggan'!$D$6:$D$105,MATCH($C13,'Master Pelanggan'!$B$6:$B$105,0)),"belum terdaftar"))</f>
        <v/>
      </c>
      <c r="E13" s="80" t="str">
        <f aca="false">IF($B13="","",IFERROR(INDEX('Data Piutang'!$J$8:$J$307,MATCH(LARGE('Data Piutang'!$N$8:$N$307,8),'Data Piutang'!$N$8:$N$307,0)),""))</f>
        <v/>
      </c>
      <c r="F13" s="18" t="str">
        <f aca="false">IF($B13="","",IFERROR(INDEX('Data Piutang'!$L$8:$L$307,MATCH(LARGE('Data Piutang'!$N$8:$N$307,8),'Data Piutang'!$N$8:$N$307,0)),""))</f>
        <v/>
      </c>
      <c r="G13" s="38" t="str">
        <f aca="false">IF($B13="","",IFERROR(INDEX('Data Piutang'!$M$8:$M$307,MATCH(LARGE('Data Piutang'!$N$8:$N$307,8),'Data Piutang'!$N$8:$N$307,0)),""))</f>
        <v/>
      </c>
      <c r="H13" s="86"/>
    </row>
    <row r="14" customFormat="false" ht="15" hidden="false" customHeight="true" outlineLevel="0" collapsed="false">
      <c r="A14" s="18" t="str">
        <f aca="false">IF($B14="","",9)</f>
        <v/>
      </c>
      <c r="B14" s="18" t="str">
        <f aca="false">IFERROR(INDEX('Data Piutang'!$C$8:$C$307,MATCH(LARGE('Data Piutang'!$N$8:$N$307,9),'Data Piutang'!$N$8:$N$307,0)),"")</f>
        <v/>
      </c>
      <c r="C14" s="78" t="str">
        <f aca="false">IF($B14="","",IFERROR(INDEX('Data Piutang'!$D$8:$D$307,MATCH(LARGE('Data Piutang'!$N$8:$N$307,9),'Data Piutang'!$N$8:$N$307,0)),""))</f>
        <v/>
      </c>
      <c r="D14" s="85" t="str">
        <f aca="false">IF($C14="","",IFERROR(INDEX('Master Pelanggan'!$D$6:$D$105,MATCH($C14,'Master Pelanggan'!$B$6:$B$105,0)),"belum terdaftar"))</f>
        <v/>
      </c>
      <c r="E14" s="80" t="str">
        <f aca="false">IF($B14="","",IFERROR(INDEX('Data Piutang'!$J$8:$J$307,MATCH(LARGE('Data Piutang'!$N$8:$N$307,9),'Data Piutang'!$N$8:$N$307,0)),""))</f>
        <v/>
      </c>
      <c r="F14" s="18" t="str">
        <f aca="false">IF($B14="","",IFERROR(INDEX('Data Piutang'!$L$8:$L$307,MATCH(LARGE('Data Piutang'!$N$8:$N$307,9),'Data Piutang'!$N$8:$N$307,0)),""))</f>
        <v/>
      </c>
      <c r="G14" s="38" t="str">
        <f aca="false">IF($B14="","",IFERROR(INDEX('Data Piutang'!$M$8:$M$307,MATCH(LARGE('Data Piutang'!$N$8:$N$307,9),'Data Piutang'!$N$8:$N$307,0)),""))</f>
        <v/>
      </c>
      <c r="H14" s="86"/>
    </row>
    <row r="15" customFormat="false" ht="15" hidden="false" customHeight="true" outlineLevel="0" collapsed="false">
      <c r="A15" s="18" t="str">
        <f aca="false">IF($B15="","",10)</f>
        <v/>
      </c>
      <c r="B15" s="18" t="str">
        <f aca="false">IFERROR(INDEX('Data Piutang'!$C$8:$C$307,MATCH(LARGE('Data Piutang'!$N$8:$N$307,10),'Data Piutang'!$N$8:$N$307,0)),"")</f>
        <v/>
      </c>
      <c r="C15" s="78" t="str">
        <f aca="false">IF($B15="","",IFERROR(INDEX('Data Piutang'!$D$8:$D$307,MATCH(LARGE('Data Piutang'!$N$8:$N$307,10),'Data Piutang'!$N$8:$N$307,0)),""))</f>
        <v/>
      </c>
      <c r="D15" s="85" t="str">
        <f aca="false">IF($C15="","",IFERROR(INDEX('Master Pelanggan'!$D$6:$D$105,MATCH($C15,'Master Pelanggan'!$B$6:$B$105,0)),"belum terdaftar"))</f>
        <v/>
      </c>
      <c r="E15" s="80" t="str">
        <f aca="false">IF($B15="","",IFERROR(INDEX('Data Piutang'!$J$8:$J$307,MATCH(LARGE('Data Piutang'!$N$8:$N$307,10),'Data Piutang'!$N$8:$N$307,0)),""))</f>
        <v/>
      </c>
      <c r="F15" s="18" t="str">
        <f aca="false">IF($B15="","",IFERROR(INDEX('Data Piutang'!$L$8:$L$307,MATCH(LARGE('Data Piutang'!$N$8:$N$307,10),'Data Piutang'!$N$8:$N$307,0)),""))</f>
        <v/>
      </c>
      <c r="G15" s="38" t="str">
        <f aca="false">IF($B15="","",IFERROR(INDEX('Data Piutang'!$M$8:$M$307,MATCH(LARGE('Data Piutang'!$N$8:$N$307,10),'Data Piutang'!$N$8:$N$307,0)),""))</f>
        <v/>
      </c>
      <c r="H15" s="86"/>
    </row>
    <row r="16" customFormat="false" ht="15" hidden="false" customHeight="true" outlineLevel="0" collapsed="false">
      <c r="A16" s="18" t="str">
        <f aca="false">IF($B16="","",11)</f>
        <v/>
      </c>
      <c r="B16" s="18" t="str">
        <f aca="false">IFERROR(INDEX('Data Piutang'!$C$8:$C$307,MATCH(LARGE('Data Piutang'!$N$8:$N$307,11),'Data Piutang'!$N$8:$N$307,0)),"")</f>
        <v/>
      </c>
      <c r="C16" s="78" t="str">
        <f aca="false">IF($B16="","",IFERROR(INDEX('Data Piutang'!$D$8:$D$307,MATCH(LARGE('Data Piutang'!$N$8:$N$307,11),'Data Piutang'!$N$8:$N$307,0)),""))</f>
        <v/>
      </c>
      <c r="D16" s="85" t="str">
        <f aca="false">IF($C16="","",IFERROR(INDEX('Master Pelanggan'!$D$6:$D$105,MATCH($C16,'Master Pelanggan'!$B$6:$B$105,0)),"belum terdaftar"))</f>
        <v/>
      </c>
      <c r="E16" s="80" t="str">
        <f aca="false">IF($B16="","",IFERROR(INDEX('Data Piutang'!$J$8:$J$307,MATCH(LARGE('Data Piutang'!$N$8:$N$307,11),'Data Piutang'!$N$8:$N$307,0)),""))</f>
        <v/>
      </c>
      <c r="F16" s="18" t="str">
        <f aca="false">IF($B16="","",IFERROR(INDEX('Data Piutang'!$L$8:$L$307,MATCH(LARGE('Data Piutang'!$N$8:$N$307,11),'Data Piutang'!$N$8:$N$307,0)),""))</f>
        <v/>
      </c>
      <c r="G16" s="38" t="str">
        <f aca="false">IF($B16="","",IFERROR(INDEX('Data Piutang'!$M$8:$M$307,MATCH(LARGE('Data Piutang'!$N$8:$N$307,11),'Data Piutang'!$N$8:$N$307,0)),""))</f>
        <v/>
      </c>
      <c r="H16" s="86"/>
    </row>
    <row r="17" customFormat="false" ht="15" hidden="false" customHeight="true" outlineLevel="0" collapsed="false">
      <c r="A17" s="18" t="str">
        <f aca="false">IF($B17="","",12)</f>
        <v/>
      </c>
      <c r="B17" s="18" t="str">
        <f aca="false">IFERROR(INDEX('Data Piutang'!$C$8:$C$307,MATCH(LARGE('Data Piutang'!$N$8:$N$307,12),'Data Piutang'!$N$8:$N$307,0)),"")</f>
        <v/>
      </c>
      <c r="C17" s="78" t="str">
        <f aca="false">IF($B17="","",IFERROR(INDEX('Data Piutang'!$D$8:$D$307,MATCH(LARGE('Data Piutang'!$N$8:$N$307,12),'Data Piutang'!$N$8:$N$307,0)),""))</f>
        <v/>
      </c>
      <c r="D17" s="85" t="str">
        <f aca="false">IF($C17="","",IFERROR(INDEX('Master Pelanggan'!$D$6:$D$105,MATCH($C17,'Master Pelanggan'!$B$6:$B$105,0)),"belum terdaftar"))</f>
        <v/>
      </c>
      <c r="E17" s="80" t="str">
        <f aca="false">IF($B17="","",IFERROR(INDEX('Data Piutang'!$J$8:$J$307,MATCH(LARGE('Data Piutang'!$N$8:$N$307,12),'Data Piutang'!$N$8:$N$307,0)),""))</f>
        <v/>
      </c>
      <c r="F17" s="18" t="str">
        <f aca="false">IF($B17="","",IFERROR(INDEX('Data Piutang'!$L$8:$L$307,MATCH(LARGE('Data Piutang'!$N$8:$N$307,12),'Data Piutang'!$N$8:$N$307,0)),""))</f>
        <v/>
      </c>
      <c r="G17" s="38" t="str">
        <f aca="false">IF($B17="","",IFERROR(INDEX('Data Piutang'!$M$8:$M$307,MATCH(LARGE('Data Piutang'!$N$8:$N$307,12),'Data Piutang'!$N$8:$N$307,0)),""))</f>
        <v/>
      </c>
      <c r="H17" s="86"/>
    </row>
    <row r="18" customFormat="false" ht="15" hidden="false" customHeight="true" outlineLevel="0" collapsed="false">
      <c r="A18" s="18" t="str">
        <f aca="false">IF($B18="","",13)</f>
        <v/>
      </c>
      <c r="B18" s="18" t="str">
        <f aca="false">IFERROR(INDEX('Data Piutang'!$C$8:$C$307,MATCH(LARGE('Data Piutang'!$N$8:$N$307,13),'Data Piutang'!$N$8:$N$307,0)),"")</f>
        <v/>
      </c>
      <c r="C18" s="78" t="str">
        <f aca="false">IF($B18="","",IFERROR(INDEX('Data Piutang'!$D$8:$D$307,MATCH(LARGE('Data Piutang'!$N$8:$N$307,13),'Data Piutang'!$N$8:$N$307,0)),""))</f>
        <v/>
      </c>
      <c r="D18" s="85" t="str">
        <f aca="false">IF($C18="","",IFERROR(INDEX('Master Pelanggan'!$D$6:$D$105,MATCH($C18,'Master Pelanggan'!$B$6:$B$105,0)),"belum terdaftar"))</f>
        <v/>
      </c>
      <c r="E18" s="80" t="str">
        <f aca="false">IF($B18="","",IFERROR(INDEX('Data Piutang'!$J$8:$J$307,MATCH(LARGE('Data Piutang'!$N$8:$N$307,13),'Data Piutang'!$N$8:$N$307,0)),""))</f>
        <v/>
      </c>
      <c r="F18" s="18" t="str">
        <f aca="false">IF($B18="","",IFERROR(INDEX('Data Piutang'!$L$8:$L$307,MATCH(LARGE('Data Piutang'!$N$8:$N$307,13),'Data Piutang'!$N$8:$N$307,0)),""))</f>
        <v/>
      </c>
      <c r="G18" s="38" t="str">
        <f aca="false">IF($B18="","",IFERROR(INDEX('Data Piutang'!$M$8:$M$307,MATCH(LARGE('Data Piutang'!$N$8:$N$307,13),'Data Piutang'!$N$8:$N$307,0)),""))</f>
        <v/>
      </c>
      <c r="H18" s="86"/>
    </row>
    <row r="19" customFormat="false" ht="15" hidden="false" customHeight="true" outlineLevel="0" collapsed="false">
      <c r="A19" s="18" t="str">
        <f aca="false">IF($B19="","",14)</f>
        <v/>
      </c>
      <c r="B19" s="18" t="str">
        <f aca="false">IFERROR(INDEX('Data Piutang'!$C$8:$C$307,MATCH(LARGE('Data Piutang'!$N$8:$N$307,14),'Data Piutang'!$N$8:$N$307,0)),"")</f>
        <v/>
      </c>
      <c r="C19" s="78" t="str">
        <f aca="false">IF($B19="","",IFERROR(INDEX('Data Piutang'!$D$8:$D$307,MATCH(LARGE('Data Piutang'!$N$8:$N$307,14),'Data Piutang'!$N$8:$N$307,0)),""))</f>
        <v/>
      </c>
      <c r="D19" s="85" t="str">
        <f aca="false">IF($C19="","",IFERROR(INDEX('Master Pelanggan'!$D$6:$D$105,MATCH($C19,'Master Pelanggan'!$B$6:$B$105,0)),"belum terdaftar"))</f>
        <v/>
      </c>
      <c r="E19" s="80" t="str">
        <f aca="false">IF($B19="","",IFERROR(INDEX('Data Piutang'!$J$8:$J$307,MATCH(LARGE('Data Piutang'!$N$8:$N$307,14),'Data Piutang'!$N$8:$N$307,0)),""))</f>
        <v/>
      </c>
      <c r="F19" s="18" t="str">
        <f aca="false">IF($B19="","",IFERROR(INDEX('Data Piutang'!$L$8:$L$307,MATCH(LARGE('Data Piutang'!$N$8:$N$307,14),'Data Piutang'!$N$8:$N$307,0)),""))</f>
        <v/>
      </c>
      <c r="G19" s="38" t="str">
        <f aca="false">IF($B19="","",IFERROR(INDEX('Data Piutang'!$M$8:$M$307,MATCH(LARGE('Data Piutang'!$N$8:$N$307,14),'Data Piutang'!$N$8:$N$307,0)),""))</f>
        <v/>
      </c>
      <c r="H19" s="86"/>
    </row>
    <row r="20" customFormat="false" ht="15" hidden="false" customHeight="true" outlineLevel="0" collapsed="false">
      <c r="A20" s="18" t="str">
        <f aca="false">IF($B20="","",15)</f>
        <v/>
      </c>
      <c r="B20" s="18" t="str">
        <f aca="false">IFERROR(INDEX('Data Piutang'!$C$8:$C$307,MATCH(LARGE('Data Piutang'!$N$8:$N$307,15),'Data Piutang'!$N$8:$N$307,0)),"")</f>
        <v/>
      </c>
      <c r="C20" s="78" t="str">
        <f aca="false">IF($B20="","",IFERROR(INDEX('Data Piutang'!$D$8:$D$307,MATCH(LARGE('Data Piutang'!$N$8:$N$307,15),'Data Piutang'!$N$8:$N$307,0)),""))</f>
        <v/>
      </c>
      <c r="D20" s="85" t="str">
        <f aca="false">IF($C20="","",IFERROR(INDEX('Master Pelanggan'!$D$6:$D$105,MATCH($C20,'Master Pelanggan'!$B$6:$B$105,0)),"belum terdaftar"))</f>
        <v/>
      </c>
      <c r="E20" s="80" t="str">
        <f aca="false">IF($B20="","",IFERROR(INDEX('Data Piutang'!$J$8:$J$307,MATCH(LARGE('Data Piutang'!$N$8:$N$307,15),'Data Piutang'!$N$8:$N$307,0)),""))</f>
        <v/>
      </c>
      <c r="F20" s="18" t="str">
        <f aca="false">IF($B20="","",IFERROR(INDEX('Data Piutang'!$L$8:$L$307,MATCH(LARGE('Data Piutang'!$N$8:$N$307,15),'Data Piutang'!$N$8:$N$307,0)),""))</f>
        <v/>
      </c>
      <c r="G20" s="38" t="str">
        <f aca="false">IF($B20="","",IFERROR(INDEX('Data Piutang'!$M$8:$M$307,MATCH(LARGE('Data Piutang'!$N$8:$N$307,15),'Data Piutang'!$N$8:$N$307,0)),""))</f>
        <v/>
      </c>
      <c r="H20" s="86"/>
    </row>
    <row r="21" customFormat="false" ht="15" hidden="false" customHeight="true" outlineLevel="0" collapsed="false">
      <c r="A21" s="18" t="str">
        <f aca="false">IF($B21="","",16)</f>
        <v/>
      </c>
      <c r="B21" s="18" t="str">
        <f aca="false">IFERROR(INDEX('Data Piutang'!$C$8:$C$307,MATCH(LARGE('Data Piutang'!$N$8:$N$307,16),'Data Piutang'!$N$8:$N$307,0)),"")</f>
        <v/>
      </c>
      <c r="C21" s="78" t="str">
        <f aca="false">IF($B21="","",IFERROR(INDEX('Data Piutang'!$D$8:$D$307,MATCH(LARGE('Data Piutang'!$N$8:$N$307,16),'Data Piutang'!$N$8:$N$307,0)),""))</f>
        <v/>
      </c>
      <c r="D21" s="85" t="str">
        <f aca="false">IF($C21="","",IFERROR(INDEX('Master Pelanggan'!$D$6:$D$105,MATCH($C21,'Master Pelanggan'!$B$6:$B$105,0)),"belum terdaftar"))</f>
        <v/>
      </c>
      <c r="E21" s="80" t="str">
        <f aca="false">IF($B21="","",IFERROR(INDEX('Data Piutang'!$J$8:$J$307,MATCH(LARGE('Data Piutang'!$N$8:$N$307,16),'Data Piutang'!$N$8:$N$307,0)),""))</f>
        <v/>
      </c>
      <c r="F21" s="18" t="str">
        <f aca="false">IF($B21="","",IFERROR(INDEX('Data Piutang'!$L$8:$L$307,MATCH(LARGE('Data Piutang'!$N$8:$N$307,16),'Data Piutang'!$N$8:$N$307,0)),""))</f>
        <v/>
      </c>
      <c r="G21" s="38" t="str">
        <f aca="false">IF($B21="","",IFERROR(INDEX('Data Piutang'!$M$8:$M$307,MATCH(LARGE('Data Piutang'!$N$8:$N$307,16),'Data Piutang'!$N$8:$N$307,0)),""))</f>
        <v/>
      </c>
      <c r="H21" s="86"/>
    </row>
    <row r="22" customFormat="false" ht="15" hidden="false" customHeight="true" outlineLevel="0" collapsed="false">
      <c r="A22" s="18" t="str">
        <f aca="false">IF($B22="","",17)</f>
        <v/>
      </c>
      <c r="B22" s="18" t="str">
        <f aca="false">IFERROR(INDEX('Data Piutang'!$C$8:$C$307,MATCH(LARGE('Data Piutang'!$N$8:$N$307,17),'Data Piutang'!$N$8:$N$307,0)),"")</f>
        <v/>
      </c>
      <c r="C22" s="78" t="str">
        <f aca="false">IF($B22="","",IFERROR(INDEX('Data Piutang'!$D$8:$D$307,MATCH(LARGE('Data Piutang'!$N$8:$N$307,17),'Data Piutang'!$N$8:$N$307,0)),""))</f>
        <v/>
      </c>
      <c r="D22" s="85" t="str">
        <f aca="false">IF($C22="","",IFERROR(INDEX('Master Pelanggan'!$D$6:$D$105,MATCH($C22,'Master Pelanggan'!$B$6:$B$105,0)),"belum terdaftar"))</f>
        <v/>
      </c>
      <c r="E22" s="80" t="str">
        <f aca="false">IF($B22="","",IFERROR(INDEX('Data Piutang'!$J$8:$J$307,MATCH(LARGE('Data Piutang'!$N$8:$N$307,17),'Data Piutang'!$N$8:$N$307,0)),""))</f>
        <v/>
      </c>
      <c r="F22" s="18" t="str">
        <f aca="false">IF($B22="","",IFERROR(INDEX('Data Piutang'!$L$8:$L$307,MATCH(LARGE('Data Piutang'!$N$8:$N$307,17),'Data Piutang'!$N$8:$N$307,0)),""))</f>
        <v/>
      </c>
      <c r="G22" s="38" t="str">
        <f aca="false">IF($B22="","",IFERROR(INDEX('Data Piutang'!$M$8:$M$307,MATCH(LARGE('Data Piutang'!$N$8:$N$307,17),'Data Piutang'!$N$8:$N$307,0)),""))</f>
        <v/>
      </c>
      <c r="H22" s="86"/>
    </row>
    <row r="23" customFormat="false" ht="15" hidden="false" customHeight="true" outlineLevel="0" collapsed="false">
      <c r="A23" s="18" t="str">
        <f aca="false">IF($B23="","",18)</f>
        <v/>
      </c>
      <c r="B23" s="18" t="str">
        <f aca="false">IFERROR(INDEX('Data Piutang'!$C$8:$C$307,MATCH(LARGE('Data Piutang'!$N$8:$N$307,18),'Data Piutang'!$N$8:$N$307,0)),"")</f>
        <v/>
      </c>
      <c r="C23" s="78" t="str">
        <f aca="false">IF($B23="","",IFERROR(INDEX('Data Piutang'!$D$8:$D$307,MATCH(LARGE('Data Piutang'!$N$8:$N$307,18),'Data Piutang'!$N$8:$N$307,0)),""))</f>
        <v/>
      </c>
      <c r="D23" s="85" t="str">
        <f aca="false">IF($C23="","",IFERROR(INDEX('Master Pelanggan'!$D$6:$D$105,MATCH($C23,'Master Pelanggan'!$B$6:$B$105,0)),"belum terdaftar"))</f>
        <v/>
      </c>
      <c r="E23" s="80" t="str">
        <f aca="false">IF($B23="","",IFERROR(INDEX('Data Piutang'!$J$8:$J$307,MATCH(LARGE('Data Piutang'!$N$8:$N$307,18),'Data Piutang'!$N$8:$N$307,0)),""))</f>
        <v/>
      </c>
      <c r="F23" s="18" t="str">
        <f aca="false">IF($B23="","",IFERROR(INDEX('Data Piutang'!$L$8:$L$307,MATCH(LARGE('Data Piutang'!$N$8:$N$307,18),'Data Piutang'!$N$8:$N$307,0)),""))</f>
        <v/>
      </c>
      <c r="G23" s="38" t="str">
        <f aca="false">IF($B23="","",IFERROR(INDEX('Data Piutang'!$M$8:$M$307,MATCH(LARGE('Data Piutang'!$N$8:$N$307,18),'Data Piutang'!$N$8:$N$307,0)),""))</f>
        <v/>
      </c>
      <c r="H23" s="86"/>
    </row>
    <row r="24" customFormat="false" ht="15" hidden="false" customHeight="true" outlineLevel="0" collapsed="false">
      <c r="A24" s="18" t="str">
        <f aca="false">IF($B24="","",19)</f>
        <v/>
      </c>
      <c r="B24" s="18" t="str">
        <f aca="false">IFERROR(INDEX('Data Piutang'!$C$8:$C$307,MATCH(LARGE('Data Piutang'!$N$8:$N$307,19),'Data Piutang'!$N$8:$N$307,0)),"")</f>
        <v/>
      </c>
      <c r="C24" s="78" t="str">
        <f aca="false">IF($B24="","",IFERROR(INDEX('Data Piutang'!$D$8:$D$307,MATCH(LARGE('Data Piutang'!$N$8:$N$307,19),'Data Piutang'!$N$8:$N$307,0)),""))</f>
        <v/>
      </c>
      <c r="D24" s="85" t="str">
        <f aca="false">IF($C24="","",IFERROR(INDEX('Master Pelanggan'!$D$6:$D$105,MATCH($C24,'Master Pelanggan'!$B$6:$B$105,0)),"belum terdaftar"))</f>
        <v/>
      </c>
      <c r="E24" s="80" t="str">
        <f aca="false">IF($B24="","",IFERROR(INDEX('Data Piutang'!$J$8:$J$307,MATCH(LARGE('Data Piutang'!$N$8:$N$307,19),'Data Piutang'!$N$8:$N$307,0)),""))</f>
        <v/>
      </c>
      <c r="F24" s="18" t="str">
        <f aca="false">IF($B24="","",IFERROR(INDEX('Data Piutang'!$L$8:$L$307,MATCH(LARGE('Data Piutang'!$N$8:$N$307,19),'Data Piutang'!$N$8:$N$307,0)),""))</f>
        <v/>
      </c>
      <c r="G24" s="38" t="str">
        <f aca="false">IF($B24="","",IFERROR(INDEX('Data Piutang'!$M$8:$M$307,MATCH(LARGE('Data Piutang'!$N$8:$N$307,19),'Data Piutang'!$N$8:$N$307,0)),""))</f>
        <v/>
      </c>
      <c r="H24" s="86"/>
    </row>
    <row r="25" customFormat="false" ht="15" hidden="false" customHeight="true" outlineLevel="0" collapsed="false">
      <c r="A25" s="18" t="str">
        <f aca="false">IF($B25="","",20)</f>
        <v/>
      </c>
      <c r="B25" s="18" t="str">
        <f aca="false">IFERROR(INDEX('Data Piutang'!$C$8:$C$307,MATCH(LARGE('Data Piutang'!$N$8:$N$307,20),'Data Piutang'!$N$8:$N$307,0)),"")</f>
        <v/>
      </c>
      <c r="C25" s="78" t="str">
        <f aca="false">IF($B25="","",IFERROR(INDEX('Data Piutang'!$D$8:$D$307,MATCH(LARGE('Data Piutang'!$N$8:$N$307,20),'Data Piutang'!$N$8:$N$307,0)),""))</f>
        <v/>
      </c>
      <c r="D25" s="85" t="str">
        <f aca="false">IF($C25="","",IFERROR(INDEX('Master Pelanggan'!$D$6:$D$105,MATCH($C25,'Master Pelanggan'!$B$6:$B$105,0)),"belum terdaftar"))</f>
        <v/>
      </c>
      <c r="E25" s="80" t="str">
        <f aca="false">IF($B25="","",IFERROR(INDEX('Data Piutang'!$J$8:$J$307,MATCH(LARGE('Data Piutang'!$N$8:$N$307,20),'Data Piutang'!$N$8:$N$307,0)),""))</f>
        <v/>
      </c>
      <c r="F25" s="18" t="str">
        <f aca="false">IF($B25="","",IFERROR(INDEX('Data Piutang'!$L$8:$L$307,MATCH(LARGE('Data Piutang'!$N$8:$N$307,20),'Data Piutang'!$N$8:$N$307,0)),""))</f>
        <v/>
      </c>
      <c r="G25" s="38" t="str">
        <f aca="false">IF($B25="","",IFERROR(INDEX('Data Piutang'!$M$8:$M$307,MATCH(LARGE('Data Piutang'!$N$8:$N$307,20),'Data Piutang'!$N$8:$N$307,0)),""))</f>
        <v/>
      </c>
      <c r="H25" s="86"/>
    </row>
    <row r="26" customFormat="false" ht="15" hidden="false" customHeight="true" outlineLevel="0" collapsed="false">
      <c r="A26" s="18" t="str">
        <f aca="false">IF($B26="","",21)</f>
        <v/>
      </c>
      <c r="B26" s="18" t="str">
        <f aca="false">IFERROR(INDEX('Data Piutang'!$C$8:$C$307,MATCH(LARGE('Data Piutang'!$N$8:$N$307,21),'Data Piutang'!$N$8:$N$307,0)),"")</f>
        <v/>
      </c>
      <c r="C26" s="78" t="str">
        <f aca="false">IF($B26="","",IFERROR(INDEX('Data Piutang'!$D$8:$D$307,MATCH(LARGE('Data Piutang'!$N$8:$N$307,21),'Data Piutang'!$N$8:$N$307,0)),""))</f>
        <v/>
      </c>
      <c r="D26" s="85" t="str">
        <f aca="false">IF($C26="","",IFERROR(INDEX('Master Pelanggan'!$D$6:$D$105,MATCH($C26,'Master Pelanggan'!$B$6:$B$105,0)),"belum terdaftar"))</f>
        <v/>
      </c>
      <c r="E26" s="80" t="str">
        <f aca="false">IF($B26="","",IFERROR(INDEX('Data Piutang'!$J$8:$J$307,MATCH(LARGE('Data Piutang'!$N$8:$N$307,21),'Data Piutang'!$N$8:$N$307,0)),""))</f>
        <v/>
      </c>
      <c r="F26" s="18" t="str">
        <f aca="false">IF($B26="","",IFERROR(INDEX('Data Piutang'!$L$8:$L$307,MATCH(LARGE('Data Piutang'!$N$8:$N$307,21),'Data Piutang'!$N$8:$N$307,0)),""))</f>
        <v/>
      </c>
      <c r="G26" s="38" t="str">
        <f aca="false">IF($B26="","",IFERROR(INDEX('Data Piutang'!$M$8:$M$307,MATCH(LARGE('Data Piutang'!$N$8:$N$307,21),'Data Piutang'!$N$8:$N$307,0)),""))</f>
        <v/>
      </c>
      <c r="H26" s="86"/>
    </row>
    <row r="27" customFormat="false" ht="15" hidden="false" customHeight="true" outlineLevel="0" collapsed="false">
      <c r="A27" s="18" t="str">
        <f aca="false">IF($B27="","",22)</f>
        <v/>
      </c>
      <c r="B27" s="18" t="str">
        <f aca="false">IFERROR(INDEX('Data Piutang'!$C$8:$C$307,MATCH(LARGE('Data Piutang'!$N$8:$N$307,22),'Data Piutang'!$N$8:$N$307,0)),"")</f>
        <v/>
      </c>
      <c r="C27" s="78" t="str">
        <f aca="false">IF($B27="","",IFERROR(INDEX('Data Piutang'!$D$8:$D$307,MATCH(LARGE('Data Piutang'!$N$8:$N$307,22),'Data Piutang'!$N$8:$N$307,0)),""))</f>
        <v/>
      </c>
      <c r="D27" s="85" t="str">
        <f aca="false">IF($C27="","",IFERROR(INDEX('Master Pelanggan'!$D$6:$D$105,MATCH($C27,'Master Pelanggan'!$B$6:$B$105,0)),"belum terdaftar"))</f>
        <v/>
      </c>
      <c r="E27" s="80" t="str">
        <f aca="false">IF($B27="","",IFERROR(INDEX('Data Piutang'!$J$8:$J$307,MATCH(LARGE('Data Piutang'!$N$8:$N$307,22),'Data Piutang'!$N$8:$N$307,0)),""))</f>
        <v/>
      </c>
      <c r="F27" s="18" t="str">
        <f aca="false">IF($B27="","",IFERROR(INDEX('Data Piutang'!$L$8:$L$307,MATCH(LARGE('Data Piutang'!$N$8:$N$307,22),'Data Piutang'!$N$8:$N$307,0)),""))</f>
        <v/>
      </c>
      <c r="G27" s="38" t="str">
        <f aca="false">IF($B27="","",IFERROR(INDEX('Data Piutang'!$M$8:$M$307,MATCH(LARGE('Data Piutang'!$N$8:$N$307,22),'Data Piutang'!$N$8:$N$307,0)),""))</f>
        <v/>
      </c>
      <c r="H27" s="86"/>
    </row>
    <row r="28" customFormat="false" ht="15" hidden="false" customHeight="true" outlineLevel="0" collapsed="false">
      <c r="A28" s="18" t="str">
        <f aca="false">IF($B28="","",23)</f>
        <v/>
      </c>
      <c r="B28" s="18" t="str">
        <f aca="false">IFERROR(INDEX('Data Piutang'!$C$8:$C$307,MATCH(LARGE('Data Piutang'!$N$8:$N$307,23),'Data Piutang'!$N$8:$N$307,0)),"")</f>
        <v/>
      </c>
      <c r="C28" s="78" t="str">
        <f aca="false">IF($B28="","",IFERROR(INDEX('Data Piutang'!$D$8:$D$307,MATCH(LARGE('Data Piutang'!$N$8:$N$307,23),'Data Piutang'!$N$8:$N$307,0)),""))</f>
        <v/>
      </c>
      <c r="D28" s="85" t="str">
        <f aca="false">IF($C28="","",IFERROR(INDEX('Master Pelanggan'!$D$6:$D$105,MATCH($C28,'Master Pelanggan'!$B$6:$B$105,0)),"belum terdaftar"))</f>
        <v/>
      </c>
      <c r="E28" s="80" t="str">
        <f aca="false">IF($B28="","",IFERROR(INDEX('Data Piutang'!$J$8:$J$307,MATCH(LARGE('Data Piutang'!$N$8:$N$307,23),'Data Piutang'!$N$8:$N$307,0)),""))</f>
        <v/>
      </c>
      <c r="F28" s="18" t="str">
        <f aca="false">IF($B28="","",IFERROR(INDEX('Data Piutang'!$L$8:$L$307,MATCH(LARGE('Data Piutang'!$N$8:$N$307,23),'Data Piutang'!$N$8:$N$307,0)),""))</f>
        <v/>
      </c>
      <c r="G28" s="38" t="str">
        <f aca="false">IF($B28="","",IFERROR(INDEX('Data Piutang'!$M$8:$M$307,MATCH(LARGE('Data Piutang'!$N$8:$N$307,23),'Data Piutang'!$N$8:$N$307,0)),""))</f>
        <v/>
      </c>
      <c r="H28" s="86"/>
    </row>
    <row r="29" customFormat="false" ht="15" hidden="false" customHeight="true" outlineLevel="0" collapsed="false">
      <c r="A29" s="18" t="str">
        <f aca="false">IF($B29="","",24)</f>
        <v/>
      </c>
      <c r="B29" s="18" t="str">
        <f aca="false">IFERROR(INDEX('Data Piutang'!$C$8:$C$307,MATCH(LARGE('Data Piutang'!$N$8:$N$307,24),'Data Piutang'!$N$8:$N$307,0)),"")</f>
        <v/>
      </c>
      <c r="C29" s="78" t="str">
        <f aca="false">IF($B29="","",IFERROR(INDEX('Data Piutang'!$D$8:$D$307,MATCH(LARGE('Data Piutang'!$N$8:$N$307,24),'Data Piutang'!$N$8:$N$307,0)),""))</f>
        <v/>
      </c>
      <c r="D29" s="85" t="str">
        <f aca="false">IF($C29="","",IFERROR(INDEX('Master Pelanggan'!$D$6:$D$105,MATCH($C29,'Master Pelanggan'!$B$6:$B$105,0)),"belum terdaftar"))</f>
        <v/>
      </c>
      <c r="E29" s="80" t="str">
        <f aca="false">IF($B29="","",IFERROR(INDEX('Data Piutang'!$J$8:$J$307,MATCH(LARGE('Data Piutang'!$N$8:$N$307,24),'Data Piutang'!$N$8:$N$307,0)),""))</f>
        <v/>
      </c>
      <c r="F29" s="18" t="str">
        <f aca="false">IF($B29="","",IFERROR(INDEX('Data Piutang'!$L$8:$L$307,MATCH(LARGE('Data Piutang'!$N$8:$N$307,24),'Data Piutang'!$N$8:$N$307,0)),""))</f>
        <v/>
      </c>
      <c r="G29" s="38" t="str">
        <f aca="false">IF($B29="","",IFERROR(INDEX('Data Piutang'!$M$8:$M$307,MATCH(LARGE('Data Piutang'!$N$8:$N$307,24),'Data Piutang'!$N$8:$N$307,0)),""))</f>
        <v/>
      </c>
      <c r="H29" s="86"/>
    </row>
    <row r="30" customFormat="false" ht="15" hidden="false" customHeight="true" outlineLevel="0" collapsed="false">
      <c r="A30" s="18" t="str">
        <f aca="false">IF($B30="","",25)</f>
        <v/>
      </c>
      <c r="B30" s="18" t="str">
        <f aca="false">IFERROR(INDEX('Data Piutang'!$C$8:$C$307,MATCH(LARGE('Data Piutang'!$N$8:$N$307,25),'Data Piutang'!$N$8:$N$307,0)),"")</f>
        <v/>
      </c>
      <c r="C30" s="78" t="str">
        <f aca="false">IF($B30="","",IFERROR(INDEX('Data Piutang'!$D$8:$D$307,MATCH(LARGE('Data Piutang'!$N$8:$N$307,25),'Data Piutang'!$N$8:$N$307,0)),""))</f>
        <v/>
      </c>
      <c r="D30" s="85" t="str">
        <f aca="false">IF($C30="","",IFERROR(INDEX('Master Pelanggan'!$D$6:$D$105,MATCH($C30,'Master Pelanggan'!$B$6:$B$105,0)),"belum terdaftar"))</f>
        <v/>
      </c>
      <c r="E30" s="80" t="str">
        <f aca="false">IF($B30="","",IFERROR(INDEX('Data Piutang'!$J$8:$J$307,MATCH(LARGE('Data Piutang'!$N$8:$N$307,25),'Data Piutang'!$N$8:$N$307,0)),""))</f>
        <v/>
      </c>
      <c r="F30" s="18" t="str">
        <f aca="false">IF($B30="","",IFERROR(INDEX('Data Piutang'!$L$8:$L$307,MATCH(LARGE('Data Piutang'!$N$8:$N$307,25),'Data Piutang'!$N$8:$N$307,0)),""))</f>
        <v/>
      </c>
      <c r="G30" s="38" t="str">
        <f aca="false">IF($B30="","",IFERROR(INDEX('Data Piutang'!$M$8:$M$307,MATCH(LARGE('Data Piutang'!$N$8:$N$307,25),'Data Piutang'!$N$8:$N$307,0)),""))</f>
        <v/>
      </c>
      <c r="H30" s="86"/>
    </row>
    <row r="31" customFormat="false" ht="15" hidden="false" customHeight="true" outlineLevel="0" collapsed="false">
      <c r="A31" s="18" t="str">
        <f aca="false">IF($B31="","",26)</f>
        <v/>
      </c>
      <c r="B31" s="18" t="str">
        <f aca="false">IFERROR(INDEX('Data Piutang'!$C$8:$C$307,MATCH(LARGE('Data Piutang'!$N$8:$N$307,26),'Data Piutang'!$N$8:$N$307,0)),"")</f>
        <v/>
      </c>
      <c r="C31" s="78" t="str">
        <f aca="false">IF($B31="","",IFERROR(INDEX('Data Piutang'!$D$8:$D$307,MATCH(LARGE('Data Piutang'!$N$8:$N$307,26),'Data Piutang'!$N$8:$N$307,0)),""))</f>
        <v/>
      </c>
      <c r="D31" s="85" t="str">
        <f aca="false">IF($C31="","",IFERROR(INDEX('Master Pelanggan'!$D$6:$D$105,MATCH($C31,'Master Pelanggan'!$B$6:$B$105,0)),"belum terdaftar"))</f>
        <v/>
      </c>
      <c r="E31" s="80" t="str">
        <f aca="false">IF($B31="","",IFERROR(INDEX('Data Piutang'!$J$8:$J$307,MATCH(LARGE('Data Piutang'!$N$8:$N$307,26),'Data Piutang'!$N$8:$N$307,0)),""))</f>
        <v/>
      </c>
      <c r="F31" s="18" t="str">
        <f aca="false">IF($B31="","",IFERROR(INDEX('Data Piutang'!$L$8:$L$307,MATCH(LARGE('Data Piutang'!$N$8:$N$307,26),'Data Piutang'!$N$8:$N$307,0)),""))</f>
        <v/>
      </c>
      <c r="G31" s="38" t="str">
        <f aca="false">IF($B31="","",IFERROR(INDEX('Data Piutang'!$M$8:$M$307,MATCH(LARGE('Data Piutang'!$N$8:$N$307,26),'Data Piutang'!$N$8:$N$307,0)),""))</f>
        <v/>
      </c>
      <c r="H31" s="86"/>
    </row>
    <row r="32" customFormat="false" ht="15" hidden="false" customHeight="true" outlineLevel="0" collapsed="false">
      <c r="A32" s="18" t="str">
        <f aca="false">IF($B32="","",27)</f>
        <v/>
      </c>
      <c r="B32" s="18" t="str">
        <f aca="false">IFERROR(INDEX('Data Piutang'!$C$8:$C$307,MATCH(LARGE('Data Piutang'!$N$8:$N$307,27),'Data Piutang'!$N$8:$N$307,0)),"")</f>
        <v/>
      </c>
      <c r="C32" s="78" t="str">
        <f aca="false">IF($B32="","",IFERROR(INDEX('Data Piutang'!$D$8:$D$307,MATCH(LARGE('Data Piutang'!$N$8:$N$307,27),'Data Piutang'!$N$8:$N$307,0)),""))</f>
        <v/>
      </c>
      <c r="D32" s="85" t="str">
        <f aca="false">IF($C32="","",IFERROR(INDEX('Master Pelanggan'!$D$6:$D$105,MATCH($C32,'Master Pelanggan'!$B$6:$B$105,0)),"belum terdaftar"))</f>
        <v/>
      </c>
      <c r="E32" s="80" t="str">
        <f aca="false">IF($B32="","",IFERROR(INDEX('Data Piutang'!$J$8:$J$307,MATCH(LARGE('Data Piutang'!$N$8:$N$307,27),'Data Piutang'!$N$8:$N$307,0)),""))</f>
        <v/>
      </c>
      <c r="F32" s="18" t="str">
        <f aca="false">IF($B32="","",IFERROR(INDEX('Data Piutang'!$L$8:$L$307,MATCH(LARGE('Data Piutang'!$N$8:$N$307,27),'Data Piutang'!$N$8:$N$307,0)),""))</f>
        <v/>
      </c>
      <c r="G32" s="38" t="str">
        <f aca="false">IF($B32="","",IFERROR(INDEX('Data Piutang'!$M$8:$M$307,MATCH(LARGE('Data Piutang'!$N$8:$N$307,27),'Data Piutang'!$N$8:$N$307,0)),""))</f>
        <v/>
      </c>
      <c r="H32" s="86"/>
    </row>
    <row r="33" customFormat="false" ht="15" hidden="false" customHeight="true" outlineLevel="0" collapsed="false">
      <c r="A33" s="18" t="str">
        <f aca="false">IF($B33="","",28)</f>
        <v/>
      </c>
      <c r="B33" s="18" t="str">
        <f aca="false">IFERROR(INDEX('Data Piutang'!$C$8:$C$307,MATCH(LARGE('Data Piutang'!$N$8:$N$307,28),'Data Piutang'!$N$8:$N$307,0)),"")</f>
        <v/>
      </c>
      <c r="C33" s="78" t="str">
        <f aca="false">IF($B33="","",IFERROR(INDEX('Data Piutang'!$D$8:$D$307,MATCH(LARGE('Data Piutang'!$N$8:$N$307,28),'Data Piutang'!$N$8:$N$307,0)),""))</f>
        <v/>
      </c>
      <c r="D33" s="85" t="str">
        <f aca="false">IF($C33="","",IFERROR(INDEX('Master Pelanggan'!$D$6:$D$105,MATCH($C33,'Master Pelanggan'!$B$6:$B$105,0)),"belum terdaftar"))</f>
        <v/>
      </c>
      <c r="E33" s="80" t="str">
        <f aca="false">IF($B33="","",IFERROR(INDEX('Data Piutang'!$J$8:$J$307,MATCH(LARGE('Data Piutang'!$N$8:$N$307,28),'Data Piutang'!$N$8:$N$307,0)),""))</f>
        <v/>
      </c>
      <c r="F33" s="18" t="str">
        <f aca="false">IF($B33="","",IFERROR(INDEX('Data Piutang'!$L$8:$L$307,MATCH(LARGE('Data Piutang'!$N$8:$N$307,28),'Data Piutang'!$N$8:$N$307,0)),""))</f>
        <v/>
      </c>
      <c r="G33" s="38" t="str">
        <f aca="false">IF($B33="","",IFERROR(INDEX('Data Piutang'!$M$8:$M$307,MATCH(LARGE('Data Piutang'!$N$8:$N$307,28),'Data Piutang'!$N$8:$N$307,0)),""))</f>
        <v/>
      </c>
      <c r="H33" s="86"/>
    </row>
    <row r="34" customFormat="false" ht="15" hidden="false" customHeight="true" outlineLevel="0" collapsed="false">
      <c r="A34" s="18" t="str">
        <f aca="false">IF($B34="","",29)</f>
        <v/>
      </c>
      <c r="B34" s="18" t="str">
        <f aca="false">IFERROR(INDEX('Data Piutang'!$C$8:$C$307,MATCH(LARGE('Data Piutang'!$N$8:$N$307,29),'Data Piutang'!$N$8:$N$307,0)),"")</f>
        <v/>
      </c>
      <c r="C34" s="78" t="str">
        <f aca="false">IF($B34="","",IFERROR(INDEX('Data Piutang'!$D$8:$D$307,MATCH(LARGE('Data Piutang'!$N$8:$N$307,29),'Data Piutang'!$N$8:$N$307,0)),""))</f>
        <v/>
      </c>
      <c r="D34" s="85" t="str">
        <f aca="false">IF($C34="","",IFERROR(INDEX('Master Pelanggan'!$D$6:$D$105,MATCH($C34,'Master Pelanggan'!$B$6:$B$105,0)),"belum terdaftar"))</f>
        <v/>
      </c>
      <c r="E34" s="80" t="str">
        <f aca="false">IF($B34="","",IFERROR(INDEX('Data Piutang'!$J$8:$J$307,MATCH(LARGE('Data Piutang'!$N$8:$N$307,29),'Data Piutang'!$N$8:$N$307,0)),""))</f>
        <v/>
      </c>
      <c r="F34" s="18" t="str">
        <f aca="false">IF($B34="","",IFERROR(INDEX('Data Piutang'!$L$8:$L$307,MATCH(LARGE('Data Piutang'!$N$8:$N$307,29),'Data Piutang'!$N$8:$N$307,0)),""))</f>
        <v/>
      </c>
      <c r="G34" s="38" t="str">
        <f aca="false">IF($B34="","",IFERROR(INDEX('Data Piutang'!$M$8:$M$307,MATCH(LARGE('Data Piutang'!$N$8:$N$307,29),'Data Piutang'!$N$8:$N$307,0)),""))</f>
        <v/>
      </c>
      <c r="H34" s="86"/>
    </row>
    <row r="35" customFormat="false" ht="15" hidden="false" customHeight="true" outlineLevel="0" collapsed="false">
      <c r="A35" s="18" t="str">
        <f aca="false">IF($B35="","",30)</f>
        <v/>
      </c>
      <c r="B35" s="18" t="str">
        <f aca="false">IFERROR(INDEX('Data Piutang'!$C$8:$C$307,MATCH(LARGE('Data Piutang'!$N$8:$N$307,30),'Data Piutang'!$N$8:$N$307,0)),"")</f>
        <v/>
      </c>
      <c r="C35" s="78" t="str">
        <f aca="false">IF($B35="","",IFERROR(INDEX('Data Piutang'!$D$8:$D$307,MATCH(LARGE('Data Piutang'!$N$8:$N$307,30),'Data Piutang'!$N$8:$N$307,0)),""))</f>
        <v/>
      </c>
      <c r="D35" s="85" t="str">
        <f aca="false">IF($C35="","",IFERROR(INDEX('Master Pelanggan'!$D$6:$D$105,MATCH($C35,'Master Pelanggan'!$B$6:$B$105,0)),"belum terdaftar"))</f>
        <v/>
      </c>
      <c r="E35" s="80" t="str">
        <f aca="false">IF($B35="","",IFERROR(INDEX('Data Piutang'!$J$8:$J$307,MATCH(LARGE('Data Piutang'!$N$8:$N$307,30),'Data Piutang'!$N$8:$N$307,0)),""))</f>
        <v/>
      </c>
      <c r="F35" s="18" t="str">
        <f aca="false">IF($B35="","",IFERROR(INDEX('Data Piutang'!$L$8:$L$307,MATCH(LARGE('Data Piutang'!$N$8:$N$307,30),'Data Piutang'!$N$8:$N$307,0)),""))</f>
        <v/>
      </c>
      <c r="G35" s="38" t="str">
        <f aca="false">IF($B35="","",IFERROR(INDEX('Data Piutang'!$M$8:$M$307,MATCH(LARGE('Data Piutang'!$N$8:$N$307,30),'Data Piutang'!$N$8:$N$307,0)),""))</f>
        <v/>
      </c>
      <c r="H35" s="86"/>
    </row>
    <row r="36" customFormat="false" ht="15" hidden="false" customHeight="true" outlineLevel="0" collapsed="false">
      <c r="A36" s="18" t="str">
        <f aca="false">IF($B36="","",31)</f>
        <v/>
      </c>
      <c r="B36" s="18" t="str">
        <f aca="false">IFERROR(INDEX('Data Piutang'!$C$8:$C$307,MATCH(LARGE('Data Piutang'!$N$8:$N$307,31),'Data Piutang'!$N$8:$N$307,0)),"")</f>
        <v/>
      </c>
      <c r="C36" s="78" t="str">
        <f aca="false">IF($B36="","",IFERROR(INDEX('Data Piutang'!$D$8:$D$307,MATCH(LARGE('Data Piutang'!$N$8:$N$307,31),'Data Piutang'!$N$8:$N$307,0)),""))</f>
        <v/>
      </c>
      <c r="D36" s="85" t="str">
        <f aca="false">IF($C36="","",IFERROR(INDEX('Master Pelanggan'!$D$6:$D$105,MATCH($C36,'Master Pelanggan'!$B$6:$B$105,0)),"belum terdaftar"))</f>
        <v/>
      </c>
      <c r="E36" s="80" t="str">
        <f aca="false">IF($B36="","",IFERROR(INDEX('Data Piutang'!$J$8:$J$307,MATCH(LARGE('Data Piutang'!$N$8:$N$307,31),'Data Piutang'!$N$8:$N$307,0)),""))</f>
        <v/>
      </c>
      <c r="F36" s="18" t="str">
        <f aca="false">IF($B36="","",IFERROR(INDEX('Data Piutang'!$L$8:$L$307,MATCH(LARGE('Data Piutang'!$N$8:$N$307,31),'Data Piutang'!$N$8:$N$307,0)),""))</f>
        <v/>
      </c>
      <c r="G36" s="38" t="str">
        <f aca="false">IF($B36="","",IFERROR(INDEX('Data Piutang'!$M$8:$M$307,MATCH(LARGE('Data Piutang'!$N$8:$N$307,31),'Data Piutang'!$N$8:$N$307,0)),""))</f>
        <v/>
      </c>
      <c r="H36" s="86"/>
    </row>
    <row r="37" customFormat="false" ht="15" hidden="false" customHeight="true" outlineLevel="0" collapsed="false">
      <c r="A37" s="18" t="str">
        <f aca="false">IF($B37="","",32)</f>
        <v/>
      </c>
      <c r="B37" s="18" t="str">
        <f aca="false">IFERROR(INDEX('Data Piutang'!$C$8:$C$307,MATCH(LARGE('Data Piutang'!$N$8:$N$307,32),'Data Piutang'!$N$8:$N$307,0)),"")</f>
        <v/>
      </c>
      <c r="C37" s="78" t="str">
        <f aca="false">IF($B37="","",IFERROR(INDEX('Data Piutang'!$D$8:$D$307,MATCH(LARGE('Data Piutang'!$N$8:$N$307,32),'Data Piutang'!$N$8:$N$307,0)),""))</f>
        <v/>
      </c>
      <c r="D37" s="85" t="str">
        <f aca="false">IF($C37="","",IFERROR(INDEX('Master Pelanggan'!$D$6:$D$105,MATCH($C37,'Master Pelanggan'!$B$6:$B$105,0)),"belum terdaftar"))</f>
        <v/>
      </c>
      <c r="E37" s="80" t="str">
        <f aca="false">IF($B37="","",IFERROR(INDEX('Data Piutang'!$J$8:$J$307,MATCH(LARGE('Data Piutang'!$N$8:$N$307,32),'Data Piutang'!$N$8:$N$307,0)),""))</f>
        <v/>
      </c>
      <c r="F37" s="18" t="str">
        <f aca="false">IF($B37="","",IFERROR(INDEX('Data Piutang'!$L$8:$L$307,MATCH(LARGE('Data Piutang'!$N$8:$N$307,32),'Data Piutang'!$N$8:$N$307,0)),""))</f>
        <v/>
      </c>
      <c r="G37" s="38" t="str">
        <f aca="false">IF($B37="","",IFERROR(INDEX('Data Piutang'!$M$8:$M$307,MATCH(LARGE('Data Piutang'!$N$8:$N$307,32),'Data Piutang'!$N$8:$N$307,0)),""))</f>
        <v/>
      </c>
      <c r="H37" s="86"/>
    </row>
    <row r="38" customFormat="false" ht="15" hidden="false" customHeight="true" outlineLevel="0" collapsed="false">
      <c r="A38" s="18" t="str">
        <f aca="false">IF($B38="","",33)</f>
        <v/>
      </c>
      <c r="B38" s="18" t="str">
        <f aca="false">IFERROR(INDEX('Data Piutang'!$C$8:$C$307,MATCH(LARGE('Data Piutang'!$N$8:$N$307,33),'Data Piutang'!$N$8:$N$307,0)),"")</f>
        <v/>
      </c>
      <c r="C38" s="78" t="str">
        <f aca="false">IF($B38="","",IFERROR(INDEX('Data Piutang'!$D$8:$D$307,MATCH(LARGE('Data Piutang'!$N$8:$N$307,33),'Data Piutang'!$N$8:$N$307,0)),""))</f>
        <v/>
      </c>
      <c r="D38" s="85" t="str">
        <f aca="false">IF($C38="","",IFERROR(INDEX('Master Pelanggan'!$D$6:$D$105,MATCH($C38,'Master Pelanggan'!$B$6:$B$105,0)),"belum terdaftar"))</f>
        <v/>
      </c>
      <c r="E38" s="80" t="str">
        <f aca="false">IF($B38="","",IFERROR(INDEX('Data Piutang'!$J$8:$J$307,MATCH(LARGE('Data Piutang'!$N$8:$N$307,33),'Data Piutang'!$N$8:$N$307,0)),""))</f>
        <v/>
      </c>
      <c r="F38" s="18" t="str">
        <f aca="false">IF($B38="","",IFERROR(INDEX('Data Piutang'!$L$8:$L$307,MATCH(LARGE('Data Piutang'!$N$8:$N$307,33),'Data Piutang'!$N$8:$N$307,0)),""))</f>
        <v/>
      </c>
      <c r="G38" s="38" t="str">
        <f aca="false">IF($B38="","",IFERROR(INDEX('Data Piutang'!$M$8:$M$307,MATCH(LARGE('Data Piutang'!$N$8:$N$307,33),'Data Piutang'!$N$8:$N$307,0)),""))</f>
        <v/>
      </c>
      <c r="H38" s="86"/>
    </row>
    <row r="39" customFormat="false" ht="15" hidden="false" customHeight="true" outlineLevel="0" collapsed="false">
      <c r="A39" s="18" t="str">
        <f aca="false">IF($B39="","",34)</f>
        <v/>
      </c>
      <c r="B39" s="18" t="str">
        <f aca="false">IFERROR(INDEX('Data Piutang'!$C$8:$C$307,MATCH(LARGE('Data Piutang'!$N$8:$N$307,34),'Data Piutang'!$N$8:$N$307,0)),"")</f>
        <v/>
      </c>
      <c r="C39" s="78" t="str">
        <f aca="false">IF($B39="","",IFERROR(INDEX('Data Piutang'!$D$8:$D$307,MATCH(LARGE('Data Piutang'!$N$8:$N$307,34),'Data Piutang'!$N$8:$N$307,0)),""))</f>
        <v/>
      </c>
      <c r="D39" s="85" t="str">
        <f aca="false">IF($C39="","",IFERROR(INDEX('Master Pelanggan'!$D$6:$D$105,MATCH($C39,'Master Pelanggan'!$B$6:$B$105,0)),"belum terdaftar"))</f>
        <v/>
      </c>
      <c r="E39" s="80" t="str">
        <f aca="false">IF($B39="","",IFERROR(INDEX('Data Piutang'!$J$8:$J$307,MATCH(LARGE('Data Piutang'!$N$8:$N$307,34),'Data Piutang'!$N$8:$N$307,0)),""))</f>
        <v/>
      </c>
      <c r="F39" s="18" t="str">
        <f aca="false">IF($B39="","",IFERROR(INDEX('Data Piutang'!$L$8:$L$307,MATCH(LARGE('Data Piutang'!$N$8:$N$307,34),'Data Piutang'!$N$8:$N$307,0)),""))</f>
        <v/>
      </c>
      <c r="G39" s="38" t="str">
        <f aca="false">IF($B39="","",IFERROR(INDEX('Data Piutang'!$M$8:$M$307,MATCH(LARGE('Data Piutang'!$N$8:$N$307,34),'Data Piutang'!$N$8:$N$307,0)),""))</f>
        <v/>
      </c>
      <c r="H39" s="86"/>
    </row>
    <row r="40" customFormat="false" ht="15" hidden="false" customHeight="true" outlineLevel="0" collapsed="false">
      <c r="A40" s="18" t="str">
        <f aca="false">IF($B40="","",35)</f>
        <v/>
      </c>
      <c r="B40" s="18" t="str">
        <f aca="false">IFERROR(INDEX('Data Piutang'!$C$8:$C$307,MATCH(LARGE('Data Piutang'!$N$8:$N$307,35),'Data Piutang'!$N$8:$N$307,0)),"")</f>
        <v/>
      </c>
      <c r="C40" s="78" t="str">
        <f aca="false">IF($B40="","",IFERROR(INDEX('Data Piutang'!$D$8:$D$307,MATCH(LARGE('Data Piutang'!$N$8:$N$307,35),'Data Piutang'!$N$8:$N$307,0)),""))</f>
        <v/>
      </c>
      <c r="D40" s="85" t="str">
        <f aca="false">IF($C40="","",IFERROR(INDEX('Master Pelanggan'!$D$6:$D$105,MATCH($C40,'Master Pelanggan'!$B$6:$B$105,0)),"belum terdaftar"))</f>
        <v/>
      </c>
      <c r="E40" s="80" t="str">
        <f aca="false">IF($B40="","",IFERROR(INDEX('Data Piutang'!$J$8:$J$307,MATCH(LARGE('Data Piutang'!$N$8:$N$307,35),'Data Piutang'!$N$8:$N$307,0)),""))</f>
        <v/>
      </c>
      <c r="F40" s="18" t="str">
        <f aca="false">IF($B40="","",IFERROR(INDEX('Data Piutang'!$L$8:$L$307,MATCH(LARGE('Data Piutang'!$N$8:$N$307,35),'Data Piutang'!$N$8:$N$307,0)),""))</f>
        <v/>
      </c>
      <c r="G40" s="38" t="str">
        <f aca="false">IF($B40="","",IFERROR(INDEX('Data Piutang'!$M$8:$M$307,MATCH(LARGE('Data Piutang'!$N$8:$N$307,35),'Data Piutang'!$N$8:$N$307,0)),""))</f>
        <v/>
      </c>
      <c r="H40" s="86"/>
    </row>
    <row r="41" customFormat="false" ht="15" hidden="false" customHeight="true" outlineLevel="0" collapsed="false">
      <c r="A41" s="18" t="str">
        <f aca="false">IF($B41="","",36)</f>
        <v/>
      </c>
      <c r="B41" s="18" t="str">
        <f aca="false">IFERROR(INDEX('Data Piutang'!$C$8:$C$307,MATCH(LARGE('Data Piutang'!$N$8:$N$307,36),'Data Piutang'!$N$8:$N$307,0)),"")</f>
        <v/>
      </c>
      <c r="C41" s="78" t="str">
        <f aca="false">IF($B41="","",IFERROR(INDEX('Data Piutang'!$D$8:$D$307,MATCH(LARGE('Data Piutang'!$N$8:$N$307,36),'Data Piutang'!$N$8:$N$307,0)),""))</f>
        <v/>
      </c>
      <c r="D41" s="85" t="str">
        <f aca="false">IF($C41="","",IFERROR(INDEX('Master Pelanggan'!$D$6:$D$105,MATCH($C41,'Master Pelanggan'!$B$6:$B$105,0)),"belum terdaftar"))</f>
        <v/>
      </c>
      <c r="E41" s="80" t="str">
        <f aca="false">IF($B41="","",IFERROR(INDEX('Data Piutang'!$J$8:$J$307,MATCH(LARGE('Data Piutang'!$N$8:$N$307,36),'Data Piutang'!$N$8:$N$307,0)),""))</f>
        <v/>
      </c>
      <c r="F41" s="18" t="str">
        <f aca="false">IF($B41="","",IFERROR(INDEX('Data Piutang'!$L$8:$L$307,MATCH(LARGE('Data Piutang'!$N$8:$N$307,36),'Data Piutang'!$N$8:$N$307,0)),""))</f>
        <v/>
      </c>
      <c r="G41" s="38" t="str">
        <f aca="false">IF($B41="","",IFERROR(INDEX('Data Piutang'!$M$8:$M$307,MATCH(LARGE('Data Piutang'!$N$8:$N$307,36),'Data Piutang'!$N$8:$N$307,0)),""))</f>
        <v/>
      </c>
      <c r="H41" s="86"/>
    </row>
    <row r="42" customFormat="false" ht="15" hidden="false" customHeight="true" outlineLevel="0" collapsed="false">
      <c r="A42" s="18" t="str">
        <f aca="false">IF($B42="","",37)</f>
        <v/>
      </c>
      <c r="B42" s="18" t="str">
        <f aca="false">IFERROR(INDEX('Data Piutang'!$C$8:$C$307,MATCH(LARGE('Data Piutang'!$N$8:$N$307,37),'Data Piutang'!$N$8:$N$307,0)),"")</f>
        <v/>
      </c>
      <c r="C42" s="78" t="str">
        <f aca="false">IF($B42="","",IFERROR(INDEX('Data Piutang'!$D$8:$D$307,MATCH(LARGE('Data Piutang'!$N$8:$N$307,37),'Data Piutang'!$N$8:$N$307,0)),""))</f>
        <v/>
      </c>
      <c r="D42" s="85" t="str">
        <f aca="false">IF($C42="","",IFERROR(INDEX('Master Pelanggan'!$D$6:$D$105,MATCH($C42,'Master Pelanggan'!$B$6:$B$105,0)),"belum terdaftar"))</f>
        <v/>
      </c>
      <c r="E42" s="80" t="str">
        <f aca="false">IF($B42="","",IFERROR(INDEX('Data Piutang'!$J$8:$J$307,MATCH(LARGE('Data Piutang'!$N$8:$N$307,37),'Data Piutang'!$N$8:$N$307,0)),""))</f>
        <v/>
      </c>
      <c r="F42" s="18" t="str">
        <f aca="false">IF($B42="","",IFERROR(INDEX('Data Piutang'!$L$8:$L$307,MATCH(LARGE('Data Piutang'!$N$8:$N$307,37),'Data Piutang'!$N$8:$N$307,0)),""))</f>
        <v/>
      </c>
      <c r="G42" s="38" t="str">
        <f aca="false">IF($B42="","",IFERROR(INDEX('Data Piutang'!$M$8:$M$307,MATCH(LARGE('Data Piutang'!$N$8:$N$307,37),'Data Piutang'!$N$8:$N$307,0)),""))</f>
        <v/>
      </c>
      <c r="H42" s="86"/>
    </row>
    <row r="43" customFormat="false" ht="15" hidden="false" customHeight="true" outlineLevel="0" collapsed="false">
      <c r="A43" s="18" t="str">
        <f aca="false">IF($B43="","",38)</f>
        <v/>
      </c>
      <c r="B43" s="18" t="str">
        <f aca="false">IFERROR(INDEX('Data Piutang'!$C$8:$C$307,MATCH(LARGE('Data Piutang'!$N$8:$N$307,38),'Data Piutang'!$N$8:$N$307,0)),"")</f>
        <v/>
      </c>
      <c r="C43" s="78" t="str">
        <f aca="false">IF($B43="","",IFERROR(INDEX('Data Piutang'!$D$8:$D$307,MATCH(LARGE('Data Piutang'!$N$8:$N$307,38),'Data Piutang'!$N$8:$N$307,0)),""))</f>
        <v/>
      </c>
      <c r="D43" s="85" t="str">
        <f aca="false">IF($C43="","",IFERROR(INDEX('Master Pelanggan'!$D$6:$D$105,MATCH($C43,'Master Pelanggan'!$B$6:$B$105,0)),"belum terdaftar"))</f>
        <v/>
      </c>
      <c r="E43" s="80" t="str">
        <f aca="false">IF($B43="","",IFERROR(INDEX('Data Piutang'!$J$8:$J$307,MATCH(LARGE('Data Piutang'!$N$8:$N$307,38),'Data Piutang'!$N$8:$N$307,0)),""))</f>
        <v/>
      </c>
      <c r="F43" s="18" t="str">
        <f aca="false">IF($B43="","",IFERROR(INDEX('Data Piutang'!$L$8:$L$307,MATCH(LARGE('Data Piutang'!$N$8:$N$307,38),'Data Piutang'!$N$8:$N$307,0)),""))</f>
        <v/>
      </c>
      <c r="G43" s="38" t="str">
        <f aca="false">IF($B43="","",IFERROR(INDEX('Data Piutang'!$M$8:$M$307,MATCH(LARGE('Data Piutang'!$N$8:$N$307,38),'Data Piutang'!$N$8:$N$307,0)),""))</f>
        <v/>
      </c>
      <c r="H43" s="86"/>
    </row>
    <row r="44" customFormat="false" ht="15" hidden="false" customHeight="true" outlineLevel="0" collapsed="false">
      <c r="A44" s="18" t="str">
        <f aca="false">IF($B44="","",39)</f>
        <v/>
      </c>
      <c r="B44" s="18" t="str">
        <f aca="false">IFERROR(INDEX('Data Piutang'!$C$8:$C$307,MATCH(LARGE('Data Piutang'!$N$8:$N$307,39),'Data Piutang'!$N$8:$N$307,0)),"")</f>
        <v/>
      </c>
      <c r="C44" s="78" t="str">
        <f aca="false">IF($B44="","",IFERROR(INDEX('Data Piutang'!$D$8:$D$307,MATCH(LARGE('Data Piutang'!$N$8:$N$307,39),'Data Piutang'!$N$8:$N$307,0)),""))</f>
        <v/>
      </c>
      <c r="D44" s="85" t="str">
        <f aca="false">IF($C44="","",IFERROR(INDEX('Master Pelanggan'!$D$6:$D$105,MATCH($C44,'Master Pelanggan'!$B$6:$B$105,0)),"belum terdaftar"))</f>
        <v/>
      </c>
      <c r="E44" s="80" t="str">
        <f aca="false">IF($B44="","",IFERROR(INDEX('Data Piutang'!$J$8:$J$307,MATCH(LARGE('Data Piutang'!$N$8:$N$307,39),'Data Piutang'!$N$8:$N$307,0)),""))</f>
        <v/>
      </c>
      <c r="F44" s="18" t="str">
        <f aca="false">IF($B44="","",IFERROR(INDEX('Data Piutang'!$L$8:$L$307,MATCH(LARGE('Data Piutang'!$N$8:$N$307,39),'Data Piutang'!$N$8:$N$307,0)),""))</f>
        <v/>
      </c>
      <c r="G44" s="38" t="str">
        <f aca="false">IF($B44="","",IFERROR(INDEX('Data Piutang'!$M$8:$M$307,MATCH(LARGE('Data Piutang'!$N$8:$N$307,39),'Data Piutang'!$N$8:$N$307,0)),""))</f>
        <v/>
      </c>
      <c r="H44" s="86"/>
    </row>
    <row r="45" customFormat="false" ht="15" hidden="false" customHeight="true" outlineLevel="0" collapsed="false">
      <c r="A45" s="18" t="str">
        <f aca="false">IF($B45="","",40)</f>
        <v/>
      </c>
      <c r="B45" s="18" t="str">
        <f aca="false">IFERROR(INDEX('Data Piutang'!$C$8:$C$307,MATCH(LARGE('Data Piutang'!$N$8:$N$307,40),'Data Piutang'!$N$8:$N$307,0)),"")</f>
        <v/>
      </c>
      <c r="C45" s="78" t="str">
        <f aca="false">IF($B45="","",IFERROR(INDEX('Data Piutang'!$D$8:$D$307,MATCH(LARGE('Data Piutang'!$N$8:$N$307,40),'Data Piutang'!$N$8:$N$307,0)),""))</f>
        <v/>
      </c>
      <c r="D45" s="85" t="str">
        <f aca="false">IF($C45="","",IFERROR(INDEX('Master Pelanggan'!$D$6:$D$105,MATCH($C45,'Master Pelanggan'!$B$6:$B$105,0)),"belum terdaftar"))</f>
        <v/>
      </c>
      <c r="E45" s="80" t="str">
        <f aca="false">IF($B45="","",IFERROR(INDEX('Data Piutang'!$J$8:$J$307,MATCH(LARGE('Data Piutang'!$N$8:$N$307,40),'Data Piutang'!$N$8:$N$307,0)),""))</f>
        <v/>
      </c>
      <c r="F45" s="18" t="str">
        <f aca="false">IF($B45="","",IFERROR(INDEX('Data Piutang'!$L$8:$L$307,MATCH(LARGE('Data Piutang'!$N$8:$N$307,40),'Data Piutang'!$N$8:$N$307,0)),""))</f>
        <v/>
      </c>
      <c r="G45" s="38" t="str">
        <f aca="false">IF($B45="","",IFERROR(INDEX('Data Piutang'!$M$8:$M$307,MATCH(LARGE('Data Piutang'!$N$8:$N$307,40),'Data Piutang'!$N$8:$N$307,0)),""))</f>
        <v/>
      </c>
      <c r="H45" s="86"/>
    </row>
    <row r="46" customFormat="false" ht="15" hidden="false" customHeight="true" outlineLevel="0" collapsed="false">
      <c r="A46" s="18" t="str">
        <f aca="false">IF($B46="","",41)</f>
        <v/>
      </c>
      <c r="B46" s="18" t="str">
        <f aca="false">IFERROR(INDEX('Data Piutang'!$C$8:$C$307,MATCH(LARGE('Data Piutang'!$N$8:$N$307,41),'Data Piutang'!$N$8:$N$307,0)),"")</f>
        <v/>
      </c>
      <c r="C46" s="78" t="str">
        <f aca="false">IF($B46="","",IFERROR(INDEX('Data Piutang'!$D$8:$D$307,MATCH(LARGE('Data Piutang'!$N$8:$N$307,41),'Data Piutang'!$N$8:$N$307,0)),""))</f>
        <v/>
      </c>
      <c r="D46" s="85" t="str">
        <f aca="false">IF($C46="","",IFERROR(INDEX('Master Pelanggan'!$D$6:$D$105,MATCH($C46,'Master Pelanggan'!$B$6:$B$105,0)),"belum terdaftar"))</f>
        <v/>
      </c>
      <c r="E46" s="80" t="str">
        <f aca="false">IF($B46="","",IFERROR(INDEX('Data Piutang'!$J$8:$J$307,MATCH(LARGE('Data Piutang'!$N$8:$N$307,41),'Data Piutang'!$N$8:$N$307,0)),""))</f>
        <v/>
      </c>
      <c r="F46" s="18" t="str">
        <f aca="false">IF($B46="","",IFERROR(INDEX('Data Piutang'!$L$8:$L$307,MATCH(LARGE('Data Piutang'!$N$8:$N$307,41),'Data Piutang'!$N$8:$N$307,0)),""))</f>
        <v/>
      </c>
      <c r="G46" s="38" t="str">
        <f aca="false">IF($B46="","",IFERROR(INDEX('Data Piutang'!$M$8:$M$307,MATCH(LARGE('Data Piutang'!$N$8:$N$307,41),'Data Piutang'!$N$8:$N$307,0)),""))</f>
        <v/>
      </c>
      <c r="H46" s="86"/>
    </row>
    <row r="47" customFormat="false" ht="15" hidden="false" customHeight="true" outlineLevel="0" collapsed="false">
      <c r="A47" s="18" t="str">
        <f aca="false">IF($B47="","",42)</f>
        <v/>
      </c>
      <c r="B47" s="18" t="str">
        <f aca="false">IFERROR(INDEX('Data Piutang'!$C$8:$C$307,MATCH(LARGE('Data Piutang'!$N$8:$N$307,42),'Data Piutang'!$N$8:$N$307,0)),"")</f>
        <v/>
      </c>
      <c r="C47" s="78" t="str">
        <f aca="false">IF($B47="","",IFERROR(INDEX('Data Piutang'!$D$8:$D$307,MATCH(LARGE('Data Piutang'!$N$8:$N$307,42),'Data Piutang'!$N$8:$N$307,0)),""))</f>
        <v/>
      </c>
      <c r="D47" s="85" t="str">
        <f aca="false">IF($C47="","",IFERROR(INDEX('Master Pelanggan'!$D$6:$D$105,MATCH($C47,'Master Pelanggan'!$B$6:$B$105,0)),"belum terdaftar"))</f>
        <v/>
      </c>
      <c r="E47" s="80" t="str">
        <f aca="false">IF($B47="","",IFERROR(INDEX('Data Piutang'!$J$8:$J$307,MATCH(LARGE('Data Piutang'!$N$8:$N$307,42),'Data Piutang'!$N$8:$N$307,0)),""))</f>
        <v/>
      </c>
      <c r="F47" s="18" t="str">
        <f aca="false">IF($B47="","",IFERROR(INDEX('Data Piutang'!$L$8:$L$307,MATCH(LARGE('Data Piutang'!$N$8:$N$307,42),'Data Piutang'!$N$8:$N$307,0)),""))</f>
        <v/>
      </c>
      <c r="G47" s="38" t="str">
        <f aca="false">IF($B47="","",IFERROR(INDEX('Data Piutang'!$M$8:$M$307,MATCH(LARGE('Data Piutang'!$N$8:$N$307,42),'Data Piutang'!$N$8:$N$307,0)),""))</f>
        <v/>
      </c>
      <c r="H47" s="86"/>
    </row>
    <row r="48" customFormat="false" ht="15" hidden="false" customHeight="true" outlineLevel="0" collapsed="false">
      <c r="A48" s="18" t="str">
        <f aca="false">IF($B48="","",43)</f>
        <v/>
      </c>
      <c r="B48" s="18" t="str">
        <f aca="false">IFERROR(INDEX('Data Piutang'!$C$8:$C$307,MATCH(LARGE('Data Piutang'!$N$8:$N$307,43),'Data Piutang'!$N$8:$N$307,0)),"")</f>
        <v/>
      </c>
      <c r="C48" s="78" t="str">
        <f aca="false">IF($B48="","",IFERROR(INDEX('Data Piutang'!$D$8:$D$307,MATCH(LARGE('Data Piutang'!$N$8:$N$307,43),'Data Piutang'!$N$8:$N$307,0)),""))</f>
        <v/>
      </c>
      <c r="D48" s="85" t="str">
        <f aca="false">IF($C48="","",IFERROR(INDEX('Master Pelanggan'!$D$6:$D$105,MATCH($C48,'Master Pelanggan'!$B$6:$B$105,0)),"belum terdaftar"))</f>
        <v/>
      </c>
      <c r="E48" s="80" t="str">
        <f aca="false">IF($B48="","",IFERROR(INDEX('Data Piutang'!$J$8:$J$307,MATCH(LARGE('Data Piutang'!$N$8:$N$307,43),'Data Piutang'!$N$8:$N$307,0)),""))</f>
        <v/>
      </c>
      <c r="F48" s="18" t="str">
        <f aca="false">IF($B48="","",IFERROR(INDEX('Data Piutang'!$L$8:$L$307,MATCH(LARGE('Data Piutang'!$N$8:$N$307,43),'Data Piutang'!$N$8:$N$307,0)),""))</f>
        <v/>
      </c>
      <c r="G48" s="38" t="str">
        <f aca="false">IF($B48="","",IFERROR(INDEX('Data Piutang'!$M$8:$M$307,MATCH(LARGE('Data Piutang'!$N$8:$N$307,43),'Data Piutang'!$N$8:$N$307,0)),""))</f>
        <v/>
      </c>
      <c r="H48" s="86"/>
    </row>
    <row r="49" customFormat="false" ht="15" hidden="false" customHeight="true" outlineLevel="0" collapsed="false">
      <c r="A49" s="18" t="str">
        <f aca="false">IF($B49="","",44)</f>
        <v/>
      </c>
      <c r="B49" s="18" t="str">
        <f aca="false">IFERROR(INDEX('Data Piutang'!$C$8:$C$307,MATCH(LARGE('Data Piutang'!$N$8:$N$307,44),'Data Piutang'!$N$8:$N$307,0)),"")</f>
        <v/>
      </c>
      <c r="C49" s="78" t="str">
        <f aca="false">IF($B49="","",IFERROR(INDEX('Data Piutang'!$D$8:$D$307,MATCH(LARGE('Data Piutang'!$N$8:$N$307,44),'Data Piutang'!$N$8:$N$307,0)),""))</f>
        <v/>
      </c>
      <c r="D49" s="85" t="str">
        <f aca="false">IF($C49="","",IFERROR(INDEX('Master Pelanggan'!$D$6:$D$105,MATCH($C49,'Master Pelanggan'!$B$6:$B$105,0)),"belum terdaftar"))</f>
        <v/>
      </c>
      <c r="E49" s="80" t="str">
        <f aca="false">IF($B49="","",IFERROR(INDEX('Data Piutang'!$J$8:$J$307,MATCH(LARGE('Data Piutang'!$N$8:$N$307,44),'Data Piutang'!$N$8:$N$307,0)),""))</f>
        <v/>
      </c>
      <c r="F49" s="18" t="str">
        <f aca="false">IF($B49="","",IFERROR(INDEX('Data Piutang'!$L$8:$L$307,MATCH(LARGE('Data Piutang'!$N$8:$N$307,44),'Data Piutang'!$N$8:$N$307,0)),""))</f>
        <v/>
      </c>
      <c r="G49" s="38" t="str">
        <f aca="false">IF($B49="","",IFERROR(INDEX('Data Piutang'!$M$8:$M$307,MATCH(LARGE('Data Piutang'!$N$8:$N$307,44),'Data Piutang'!$N$8:$N$307,0)),""))</f>
        <v/>
      </c>
      <c r="H49" s="86"/>
    </row>
    <row r="50" customFormat="false" ht="15" hidden="false" customHeight="true" outlineLevel="0" collapsed="false">
      <c r="A50" s="18" t="str">
        <f aca="false">IF($B50="","",45)</f>
        <v/>
      </c>
      <c r="B50" s="18" t="str">
        <f aca="false">IFERROR(INDEX('Data Piutang'!$C$8:$C$307,MATCH(LARGE('Data Piutang'!$N$8:$N$307,45),'Data Piutang'!$N$8:$N$307,0)),"")</f>
        <v/>
      </c>
      <c r="C50" s="78" t="str">
        <f aca="false">IF($B50="","",IFERROR(INDEX('Data Piutang'!$D$8:$D$307,MATCH(LARGE('Data Piutang'!$N$8:$N$307,45),'Data Piutang'!$N$8:$N$307,0)),""))</f>
        <v/>
      </c>
      <c r="D50" s="85" t="str">
        <f aca="false">IF($C50="","",IFERROR(INDEX('Master Pelanggan'!$D$6:$D$105,MATCH($C50,'Master Pelanggan'!$B$6:$B$105,0)),"belum terdaftar"))</f>
        <v/>
      </c>
      <c r="E50" s="80" t="str">
        <f aca="false">IF($B50="","",IFERROR(INDEX('Data Piutang'!$J$8:$J$307,MATCH(LARGE('Data Piutang'!$N$8:$N$307,45),'Data Piutang'!$N$8:$N$307,0)),""))</f>
        <v/>
      </c>
      <c r="F50" s="18" t="str">
        <f aca="false">IF($B50="","",IFERROR(INDEX('Data Piutang'!$L$8:$L$307,MATCH(LARGE('Data Piutang'!$N$8:$N$307,45),'Data Piutang'!$N$8:$N$307,0)),""))</f>
        <v/>
      </c>
      <c r="G50" s="38" t="str">
        <f aca="false">IF($B50="","",IFERROR(INDEX('Data Piutang'!$M$8:$M$307,MATCH(LARGE('Data Piutang'!$N$8:$N$307,45),'Data Piutang'!$N$8:$N$307,0)),""))</f>
        <v/>
      </c>
      <c r="H50" s="86"/>
    </row>
    <row r="51" customFormat="false" ht="15" hidden="false" customHeight="true" outlineLevel="0" collapsed="false">
      <c r="A51" s="18" t="str">
        <f aca="false">IF($B51="","",46)</f>
        <v/>
      </c>
      <c r="B51" s="18" t="str">
        <f aca="false">IFERROR(INDEX('Data Piutang'!$C$8:$C$307,MATCH(LARGE('Data Piutang'!$N$8:$N$307,46),'Data Piutang'!$N$8:$N$307,0)),"")</f>
        <v/>
      </c>
      <c r="C51" s="78" t="str">
        <f aca="false">IF($B51="","",IFERROR(INDEX('Data Piutang'!$D$8:$D$307,MATCH(LARGE('Data Piutang'!$N$8:$N$307,46),'Data Piutang'!$N$8:$N$307,0)),""))</f>
        <v/>
      </c>
      <c r="D51" s="85" t="str">
        <f aca="false">IF($C51="","",IFERROR(INDEX('Master Pelanggan'!$D$6:$D$105,MATCH($C51,'Master Pelanggan'!$B$6:$B$105,0)),"belum terdaftar"))</f>
        <v/>
      </c>
      <c r="E51" s="80" t="str">
        <f aca="false">IF($B51="","",IFERROR(INDEX('Data Piutang'!$J$8:$J$307,MATCH(LARGE('Data Piutang'!$N$8:$N$307,46),'Data Piutang'!$N$8:$N$307,0)),""))</f>
        <v/>
      </c>
      <c r="F51" s="18" t="str">
        <f aca="false">IF($B51="","",IFERROR(INDEX('Data Piutang'!$L$8:$L$307,MATCH(LARGE('Data Piutang'!$N$8:$N$307,46),'Data Piutang'!$N$8:$N$307,0)),""))</f>
        <v/>
      </c>
      <c r="G51" s="38" t="str">
        <f aca="false">IF($B51="","",IFERROR(INDEX('Data Piutang'!$M$8:$M$307,MATCH(LARGE('Data Piutang'!$N$8:$N$307,46),'Data Piutang'!$N$8:$N$307,0)),""))</f>
        <v/>
      </c>
      <c r="H51" s="86"/>
    </row>
    <row r="52" customFormat="false" ht="15" hidden="false" customHeight="true" outlineLevel="0" collapsed="false">
      <c r="A52" s="18" t="str">
        <f aca="false">IF($B52="","",47)</f>
        <v/>
      </c>
      <c r="B52" s="18" t="str">
        <f aca="false">IFERROR(INDEX('Data Piutang'!$C$8:$C$307,MATCH(LARGE('Data Piutang'!$N$8:$N$307,47),'Data Piutang'!$N$8:$N$307,0)),"")</f>
        <v/>
      </c>
      <c r="C52" s="78" t="str">
        <f aca="false">IF($B52="","",IFERROR(INDEX('Data Piutang'!$D$8:$D$307,MATCH(LARGE('Data Piutang'!$N$8:$N$307,47),'Data Piutang'!$N$8:$N$307,0)),""))</f>
        <v/>
      </c>
      <c r="D52" s="85" t="str">
        <f aca="false">IF($C52="","",IFERROR(INDEX('Master Pelanggan'!$D$6:$D$105,MATCH($C52,'Master Pelanggan'!$B$6:$B$105,0)),"belum terdaftar"))</f>
        <v/>
      </c>
      <c r="E52" s="80" t="str">
        <f aca="false">IF($B52="","",IFERROR(INDEX('Data Piutang'!$J$8:$J$307,MATCH(LARGE('Data Piutang'!$N$8:$N$307,47),'Data Piutang'!$N$8:$N$307,0)),""))</f>
        <v/>
      </c>
      <c r="F52" s="18" t="str">
        <f aca="false">IF($B52="","",IFERROR(INDEX('Data Piutang'!$L$8:$L$307,MATCH(LARGE('Data Piutang'!$N$8:$N$307,47),'Data Piutang'!$N$8:$N$307,0)),""))</f>
        <v/>
      </c>
      <c r="G52" s="38" t="str">
        <f aca="false">IF($B52="","",IFERROR(INDEX('Data Piutang'!$M$8:$M$307,MATCH(LARGE('Data Piutang'!$N$8:$N$307,47),'Data Piutang'!$N$8:$N$307,0)),""))</f>
        <v/>
      </c>
      <c r="H52" s="86"/>
    </row>
    <row r="53" customFormat="false" ht="15" hidden="false" customHeight="true" outlineLevel="0" collapsed="false">
      <c r="A53" s="18" t="str">
        <f aca="false">IF($B53="","",48)</f>
        <v/>
      </c>
      <c r="B53" s="18" t="str">
        <f aca="false">IFERROR(INDEX('Data Piutang'!$C$8:$C$307,MATCH(LARGE('Data Piutang'!$N$8:$N$307,48),'Data Piutang'!$N$8:$N$307,0)),"")</f>
        <v/>
      </c>
      <c r="C53" s="78" t="str">
        <f aca="false">IF($B53="","",IFERROR(INDEX('Data Piutang'!$D$8:$D$307,MATCH(LARGE('Data Piutang'!$N$8:$N$307,48),'Data Piutang'!$N$8:$N$307,0)),""))</f>
        <v/>
      </c>
      <c r="D53" s="85" t="str">
        <f aca="false">IF($C53="","",IFERROR(INDEX('Master Pelanggan'!$D$6:$D$105,MATCH($C53,'Master Pelanggan'!$B$6:$B$105,0)),"belum terdaftar"))</f>
        <v/>
      </c>
      <c r="E53" s="80" t="str">
        <f aca="false">IF($B53="","",IFERROR(INDEX('Data Piutang'!$J$8:$J$307,MATCH(LARGE('Data Piutang'!$N$8:$N$307,48),'Data Piutang'!$N$8:$N$307,0)),""))</f>
        <v/>
      </c>
      <c r="F53" s="18" t="str">
        <f aca="false">IF($B53="","",IFERROR(INDEX('Data Piutang'!$L$8:$L$307,MATCH(LARGE('Data Piutang'!$N$8:$N$307,48),'Data Piutang'!$N$8:$N$307,0)),""))</f>
        <v/>
      </c>
      <c r="G53" s="38" t="str">
        <f aca="false">IF($B53="","",IFERROR(INDEX('Data Piutang'!$M$8:$M$307,MATCH(LARGE('Data Piutang'!$N$8:$N$307,48),'Data Piutang'!$N$8:$N$307,0)),""))</f>
        <v/>
      </c>
      <c r="H53" s="86"/>
    </row>
    <row r="54" customFormat="false" ht="15" hidden="false" customHeight="true" outlineLevel="0" collapsed="false">
      <c r="A54" s="18" t="str">
        <f aca="false">IF($B54="","",49)</f>
        <v/>
      </c>
      <c r="B54" s="18" t="str">
        <f aca="false">IFERROR(INDEX('Data Piutang'!$C$8:$C$307,MATCH(LARGE('Data Piutang'!$N$8:$N$307,49),'Data Piutang'!$N$8:$N$307,0)),"")</f>
        <v/>
      </c>
      <c r="C54" s="78" t="str">
        <f aca="false">IF($B54="","",IFERROR(INDEX('Data Piutang'!$D$8:$D$307,MATCH(LARGE('Data Piutang'!$N$8:$N$307,49),'Data Piutang'!$N$8:$N$307,0)),""))</f>
        <v/>
      </c>
      <c r="D54" s="85" t="str">
        <f aca="false">IF($C54="","",IFERROR(INDEX('Master Pelanggan'!$D$6:$D$105,MATCH($C54,'Master Pelanggan'!$B$6:$B$105,0)),"belum terdaftar"))</f>
        <v/>
      </c>
      <c r="E54" s="80" t="str">
        <f aca="false">IF($B54="","",IFERROR(INDEX('Data Piutang'!$J$8:$J$307,MATCH(LARGE('Data Piutang'!$N$8:$N$307,49),'Data Piutang'!$N$8:$N$307,0)),""))</f>
        <v/>
      </c>
      <c r="F54" s="18" t="str">
        <f aca="false">IF($B54="","",IFERROR(INDEX('Data Piutang'!$L$8:$L$307,MATCH(LARGE('Data Piutang'!$N$8:$N$307,49),'Data Piutang'!$N$8:$N$307,0)),""))</f>
        <v/>
      </c>
      <c r="G54" s="38" t="str">
        <f aca="false">IF($B54="","",IFERROR(INDEX('Data Piutang'!$M$8:$M$307,MATCH(LARGE('Data Piutang'!$N$8:$N$307,49),'Data Piutang'!$N$8:$N$307,0)),""))</f>
        <v/>
      </c>
      <c r="H54" s="86"/>
    </row>
    <row r="55" customFormat="false" ht="15" hidden="false" customHeight="true" outlineLevel="0" collapsed="false">
      <c r="A55" s="18" t="str">
        <f aca="false">IF($B55="","",50)</f>
        <v/>
      </c>
      <c r="B55" s="18" t="str">
        <f aca="false">IFERROR(INDEX('Data Piutang'!$C$8:$C$307,MATCH(LARGE('Data Piutang'!$N$8:$N$307,50),'Data Piutang'!$N$8:$N$307,0)),"")</f>
        <v/>
      </c>
      <c r="C55" s="78" t="str">
        <f aca="false">IF($B55="","",IFERROR(INDEX('Data Piutang'!$D$8:$D$307,MATCH(LARGE('Data Piutang'!$N$8:$N$307,50),'Data Piutang'!$N$8:$N$307,0)),""))</f>
        <v/>
      </c>
      <c r="D55" s="85" t="str">
        <f aca="false">IF($C55="","",IFERROR(INDEX('Master Pelanggan'!$D$6:$D$105,MATCH($C55,'Master Pelanggan'!$B$6:$B$105,0)),"belum terdaftar"))</f>
        <v/>
      </c>
      <c r="E55" s="80" t="str">
        <f aca="false">IF($B55="","",IFERROR(INDEX('Data Piutang'!$J$8:$J$307,MATCH(LARGE('Data Piutang'!$N$8:$N$307,50),'Data Piutang'!$N$8:$N$307,0)),""))</f>
        <v/>
      </c>
      <c r="F55" s="18" t="str">
        <f aca="false">IF($B55="","",IFERROR(INDEX('Data Piutang'!$L$8:$L$307,MATCH(LARGE('Data Piutang'!$N$8:$N$307,50),'Data Piutang'!$N$8:$N$307,0)),""))</f>
        <v/>
      </c>
      <c r="G55" s="38" t="str">
        <f aca="false">IF($B55="","",IFERROR(INDEX('Data Piutang'!$M$8:$M$307,MATCH(LARGE('Data Piutang'!$N$8:$N$307,50),'Data Piutang'!$N$8:$N$307,0)),""))</f>
        <v/>
      </c>
      <c r="H55" s="86"/>
    </row>
    <row r="56" customFormat="false" ht="15" hidden="false" customHeight="true" outlineLevel="0" collapsed="false">
      <c r="A56" s="18" t="str">
        <f aca="false">IF($B56="","",51)</f>
        <v/>
      </c>
      <c r="B56" s="18" t="str">
        <f aca="false">IFERROR(INDEX('Data Piutang'!$C$8:$C$307,MATCH(LARGE('Data Piutang'!$N$8:$N$307,51),'Data Piutang'!$N$8:$N$307,0)),"")</f>
        <v/>
      </c>
      <c r="C56" s="78" t="str">
        <f aca="false">IF($B56="","",IFERROR(INDEX('Data Piutang'!$D$8:$D$307,MATCH(LARGE('Data Piutang'!$N$8:$N$307,51),'Data Piutang'!$N$8:$N$307,0)),""))</f>
        <v/>
      </c>
      <c r="D56" s="85" t="str">
        <f aca="false">IF($C56="","",IFERROR(INDEX('Master Pelanggan'!$D$6:$D$105,MATCH($C56,'Master Pelanggan'!$B$6:$B$105,0)),"belum terdaftar"))</f>
        <v/>
      </c>
      <c r="E56" s="80" t="str">
        <f aca="false">IF($B56="","",IFERROR(INDEX('Data Piutang'!$J$8:$J$307,MATCH(LARGE('Data Piutang'!$N$8:$N$307,51),'Data Piutang'!$N$8:$N$307,0)),""))</f>
        <v/>
      </c>
      <c r="F56" s="18" t="str">
        <f aca="false">IF($B56="","",IFERROR(INDEX('Data Piutang'!$L$8:$L$307,MATCH(LARGE('Data Piutang'!$N$8:$N$307,51),'Data Piutang'!$N$8:$N$307,0)),""))</f>
        <v/>
      </c>
      <c r="G56" s="38" t="str">
        <f aca="false">IF($B56="","",IFERROR(INDEX('Data Piutang'!$M$8:$M$307,MATCH(LARGE('Data Piutang'!$N$8:$N$307,51),'Data Piutang'!$N$8:$N$307,0)),""))</f>
        <v/>
      </c>
      <c r="H56" s="86"/>
    </row>
    <row r="57" customFormat="false" ht="15" hidden="false" customHeight="true" outlineLevel="0" collapsed="false">
      <c r="A57" s="18" t="str">
        <f aca="false">IF($B57="","",52)</f>
        <v/>
      </c>
      <c r="B57" s="18" t="str">
        <f aca="false">IFERROR(INDEX('Data Piutang'!$C$8:$C$307,MATCH(LARGE('Data Piutang'!$N$8:$N$307,52),'Data Piutang'!$N$8:$N$307,0)),"")</f>
        <v/>
      </c>
      <c r="C57" s="78" t="str">
        <f aca="false">IF($B57="","",IFERROR(INDEX('Data Piutang'!$D$8:$D$307,MATCH(LARGE('Data Piutang'!$N$8:$N$307,52),'Data Piutang'!$N$8:$N$307,0)),""))</f>
        <v/>
      </c>
      <c r="D57" s="85" t="str">
        <f aca="false">IF($C57="","",IFERROR(INDEX('Master Pelanggan'!$D$6:$D$105,MATCH($C57,'Master Pelanggan'!$B$6:$B$105,0)),"belum terdaftar"))</f>
        <v/>
      </c>
      <c r="E57" s="80" t="str">
        <f aca="false">IF($B57="","",IFERROR(INDEX('Data Piutang'!$J$8:$J$307,MATCH(LARGE('Data Piutang'!$N$8:$N$307,52),'Data Piutang'!$N$8:$N$307,0)),""))</f>
        <v/>
      </c>
      <c r="F57" s="18" t="str">
        <f aca="false">IF($B57="","",IFERROR(INDEX('Data Piutang'!$L$8:$L$307,MATCH(LARGE('Data Piutang'!$N$8:$N$307,52),'Data Piutang'!$N$8:$N$307,0)),""))</f>
        <v/>
      </c>
      <c r="G57" s="38" t="str">
        <f aca="false">IF($B57="","",IFERROR(INDEX('Data Piutang'!$M$8:$M$307,MATCH(LARGE('Data Piutang'!$N$8:$N$307,52),'Data Piutang'!$N$8:$N$307,0)),""))</f>
        <v/>
      </c>
      <c r="H57" s="86"/>
    </row>
    <row r="58" customFormat="false" ht="15" hidden="false" customHeight="true" outlineLevel="0" collapsed="false">
      <c r="A58" s="18" t="str">
        <f aca="false">IF($B58="","",53)</f>
        <v/>
      </c>
      <c r="B58" s="18" t="str">
        <f aca="false">IFERROR(INDEX('Data Piutang'!$C$8:$C$307,MATCH(LARGE('Data Piutang'!$N$8:$N$307,53),'Data Piutang'!$N$8:$N$307,0)),"")</f>
        <v/>
      </c>
      <c r="C58" s="78" t="str">
        <f aca="false">IF($B58="","",IFERROR(INDEX('Data Piutang'!$D$8:$D$307,MATCH(LARGE('Data Piutang'!$N$8:$N$307,53),'Data Piutang'!$N$8:$N$307,0)),""))</f>
        <v/>
      </c>
      <c r="D58" s="85" t="str">
        <f aca="false">IF($C58="","",IFERROR(INDEX('Master Pelanggan'!$D$6:$D$105,MATCH($C58,'Master Pelanggan'!$B$6:$B$105,0)),"belum terdaftar"))</f>
        <v/>
      </c>
      <c r="E58" s="80" t="str">
        <f aca="false">IF($B58="","",IFERROR(INDEX('Data Piutang'!$J$8:$J$307,MATCH(LARGE('Data Piutang'!$N$8:$N$307,53),'Data Piutang'!$N$8:$N$307,0)),""))</f>
        <v/>
      </c>
      <c r="F58" s="18" t="str">
        <f aca="false">IF($B58="","",IFERROR(INDEX('Data Piutang'!$L$8:$L$307,MATCH(LARGE('Data Piutang'!$N$8:$N$307,53),'Data Piutang'!$N$8:$N$307,0)),""))</f>
        <v/>
      </c>
      <c r="G58" s="38" t="str">
        <f aca="false">IF($B58="","",IFERROR(INDEX('Data Piutang'!$M$8:$M$307,MATCH(LARGE('Data Piutang'!$N$8:$N$307,53),'Data Piutang'!$N$8:$N$307,0)),""))</f>
        <v/>
      </c>
      <c r="H58" s="86"/>
    </row>
    <row r="59" customFormat="false" ht="15" hidden="false" customHeight="true" outlineLevel="0" collapsed="false">
      <c r="A59" s="18" t="str">
        <f aca="false">IF($B59="","",54)</f>
        <v/>
      </c>
      <c r="B59" s="18" t="str">
        <f aca="false">IFERROR(INDEX('Data Piutang'!$C$8:$C$307,MATCH(LARGE('Data Piutang'!$N$8:$N$307,54),'Data Piutang'!$N$8:$N$307,0)),"")</f>
        <v/>
      </c>
      <c r="C59" s="78" t="str">
        <f aca="false">IF($B59="","",IFERROR(INDEX('Data Piutang'!$D$8:$D$307,MATCH(LARGE('Data Piutang'!$N$8:$N$307,54),'Data Piutang'!$N$8:$N$307,0)),""))</f>
        <v/>
      </c>
      <c r="D59" s="85" t="str">
        <f aca="false">IF($C59="","",IFERROR(INDEX('Master Pelanggan'!$D$6:$D$105,MATCH($C59,'Master Pelanggan'!$B$6:$B$105,0)),"belum terdaftar"))</f>
        <v/>
      </c>
      <c r="E59" s="80" t="str">
        <f aca="false">IF($B59="","",IFERROR(INDEX('Data Piutang'!$J$8:$J$307,MATCH(LARGE('Data Piutang'!$N$8:$N$307,54),'Data Piutang'!$N$8:$N$307,0)),""))</f>
        <v/>
      </c>
      <c r="F59" s="18" t="str">
        <f aca="false">IF($B59="","",IFERROR(INDEX('Data Piutang'!$L$8:$L$307,MATCH(LARGE('Data Piutang'!$N$8:$N$307,54),'Data Piutang'!$N$8:$N$307,0)),""))</f>
        <v/>
      </c>
      <c r="G59" s="38" t="str">
        <f aca="false">IF($B59="","",IFERROR(INDEX('Data Piutang'!$M$8:$M$307,MATCH(LARGE('Data Piutang'!$N$8:$N$307,54),'Data Piutang'!$N$8:$N$307,0)),""))</f>
        <v/>
      </c>
      <c r="H59" s="86"/>
    </row>
    <row r="60" customFormat="false" ht="15" hidden="false" customHeight="true" outlineLevel="0" collapsed="false">
      <c r="A60" s="18" t="str">
        <f aca="false">IF($B60="","",55)</f>
        <v/>
      </c>
      <c r="B60" s="18" t="str">
        <f aca="false">IFERROR(INDEX('Data Piutang'!$C$8:$C$307,MATCH(LARGE('Data Piutang'!$N$8:$N$307,55),'Data Piutang'!$N$8:$N$307,0)),"")</f>
        <v/>
      </c>
      <c r="C60" s="78" t="str">
        <f aca="false">IF($B60="","",IFERROR(INDEX('Data Piutang'!$D$8:$D$307,MATCH(LARGE('Data Piutang'!$N$8:$N$307,55),'Data Piutang'!$N$8:$N$307,0)),""))</f>
        <v/>
      </c>
      <c r="D60" s="85" t="str">
        <f aca="false">IF($C60="","",IFERROR(INDEX('Master Pelanggan'!$D$6:$D$105,MATCH($C60,'Master Pelanggan'!$B$6:$B$105,0)),"belum terdaftar"))</f>
        <v/>
      </c>
      <c r="E60" s="80" t="str">
        <f aca="false">IF($B60="","",IFERROR(INDEX('Data Piutang'!$J$8:$J$307,MATCH(LARGE('Data Piutang'!$N$8:$N$307,55),'Data Piutang'!$N$8:$N$307,0)),""))</f>
        <v/>
      </c>
      <c r="F60" s="18" t="str">
        <f aca="false">IF($B60="","",IFERROR(INDEX('Data Piutang'!$L$8:$L$307,MATCH(LARGE('Data Piutang'!$N$8:$N$307,55),'Data Piutang'!$N$8:$N$307,0)),""))</f>
        <v/>
      </c>
      <c r="G60" s="38" t="str">
        <f aca="false">IF($B60="","",IFERROR(INDEX('Data Piutang'!$M$8:$M$307,MATCH(LARGE('Data Piutang'!$N$8:$N$307,55),'Data Piutang'!$N$8:$N$307,0)),""))</f>
        <v/>
      </c>
      <c r="H60" s="86"/>
    </row>
    <row r="61" customFormat="false" ht="15" hidden="false" customHeight="true" outlineLevel="0" collapsed="false">
      <c r="A61" s="18" t="str">
        <f aca="false">IF($B61="","",56)</f>
        <v/>
      </c>
      <c r="B61" s="18" t="str">
        <f aca="false">IFERROR(INDEX('Data Piutang'!$C$8:$C$307,MATCH(LARGE('Data Piutang'!$N$8:$N$307,56),'Data Piutang'!$N$8:$N$307,0)),"")</f>
        <v/>
      </c>
      <c r="C61" s="78" t="str">
        <f aca="false">IF($B61="","",IFERROR(INDEX('Data Piutang'!$D$8:$D$307,MATCH(LARGE('Data Piutang'!$N$8:$N$307,56),'Data Piutang'!$N$8:$N$307,0)),""))</f>
        <v/>
      </c>
      <c r="D61" s="85" t="str">
        <f aca="false">IF($C61="","",IFERROR(INDEX('Master Pelanggan'!$D$6:$D$105,MATCH($C61,'Master Pelanggan'!$B$6:$B$105,0)),"belum terdaftar"))</f>
        <v/>
      </c>
      <c r="E61" s="80" t="str">
        <f aca="false">IF($B61="","",IFERROR(INDEX('Data Piutang'!$J$8:$J$307,MATCH(LARGE('Data Piutang'!$N$8:$N$307,56),'Data Piutang'!$N$8:$N$307,0)),""))</f>
        <v/>
      </c>
      <c r="F61" s="18" t="str">
        <f aca="false">IF($B61="","",IFERROR(INDEX('Data Piutang'!$L$8:$L$307,MATCH(LARGE('Data Piutang'!$N$8:$N$307,56),'Data Piutang'!$N$8:$N$307,0)),""))</f>
        <v/>
      </c>
      <c r="G61" s="38" t="str">
        <f aca="false">IF($B61="","",IFERROR(INDEX('Data Piutang'!$M$8:$M$307,MATCH(LARGE('Data Piutang'!$N$8:$N$307,56),'Data Piutang'!$N$8:$N$307,0)),""))</f>
        <v/>
      </c>
      <c r="H61" s="86"/>
    </row>
    <row r="62" customFormat="false" ht="15" hidden="false" customHeight="true" outlineLevel="0" collapsed="false">
      <c r="A62" s="18" t="str">
        <f aca="false">IF($B62="","",57)</f>
        <v/>
      </c>
      <c r="B62" s="18" t="str">
        <f aca="false">IFERROR(INDEX('Data Piutang'!$C$8:$C$307,MATCH(LARGE('Data Piutang'!$N$8:$N$307,57),'Data Piutang'!$N$8:$N$307,0)),"")</f>
        <v/>
      </c>
      <c r="C62" s="78" t="str">
        <f aca="false">IF($B62="","",IFERROR(INDEX('Data Piutang'!$D$8:$D$307,MATCH(LARGE('Data Piutang'!$N$8:$N$307,57),'Data Piutang'!$N$8:$N$307,0)),""))</f>
        <v/>
      </c>
      <c r="D62" s="85" t="str">
        <f aca="false">IF($C62="","",IFERROR(INDEX('Master Pelanggan'!$D$6:$D$105,MATCH($C62,'Master Pelanggan'!$B$6:$B$105,0)),"belum terdaftar"))</f>
        <v/>
      </c>
      <c r="E62" s="80" t="str">
        <f aca="false">IF($B62="","",IFERROR(INDEX('Data Piutang'!$J$8:$J$307,MATCH(LARGE('Data Piutang'!$N$8:$N$307,57),'Data Piutang'!$N$8:$N$307,0)),""))</f>
        <v/>
      </c>
      <c r="F62" s="18" t="str">
        <f aca="false">IF($B62="","",IFERROR(INDEX('Data Piutang'!$L$8:$L$307,MATCH(LARGE('Data Piutang'!$N$8:$N$307,57),'Data Piutang'!$N$8:$N$307,0)),""))</f>
        <v/>
      </c>
      <c r="G62" s="38" t="str">
        <f aca="false">IF($B62="","",IFERROR(INDEX('Data Piutang'!$M$8:$M$307,MATCH(LARGE('Data Piutang'!$N$8:$N$307,57),'Data Piutang'!$N$8:$N$307,0)),""))</f>
        <v/>
      </c>
      <c r="H62" s="86"/>
    </row>
    <row r="63" customFormat="false" ht="15" hidden="false" customHeight="true" outlineLevel="0" collapsed="false">
      <c r="A63" s="18" t="str">
        <f aca="false">IF($B63="","",58)</f>
        <v/>
      </c>
      <c r="B63" s="18" t="str">
        <f aca="false">IFERROR(INDEX('Data Piutang'!$C$8:$C$307,MATCH(LARGE('Data Piutang'!$N$8:$N$307,58),'Data Piutang'!$N$8:$N$307,0)),"")</f>
        <v/>
      </c>
      <c r="C63" s="78" t="str">
        <f aca="false">IF($B63="","",IFERROR(INDEX('Data Piutang'!$D$8:$D$307,MATCH(LARGE('Data Piutang'!$N$8:$N$307,58),'Data Piutang'!$N$8:$N$307,0)),""))</f>
        <v/>
      </c>
      <c r="D63" s="85" t="str">
        <f aca="false">IF($C63="","",IFERROR(INDEX('Master Pelanggan'!$D$6:$D$105,MATCH($C63,'Master Pelanggan'!$B$6:$B$105,0)),"belum terdaftar"))</f>
        <v/>
      </c>
      <c r="E63" s="80" t="str">
        <f aca="false">IF($B63="","",IFERROR(INDEX('Data Piutang'!$J$8:$J$307,MATCH(LARGE('Data Piutang'!$N$8:$N$307,58),'Data Piutang'!$N$8:$N$307,0)),""))</f>
        <v/>
      </c>
      <c r="F63" s="18" t="str">
        <f aca="false">IF($B63="","",IFERROR(INDEX('Data Piutang'!$L$8:$L$307,MATCH(LARGE('Data Piutang'!$N$8:$N$307,58),'Data Piutang'!$N$8:$N$307,0)),""))</f>
        <v/>
      </c>
      <c r="G63" s="38" t="str">
        <f aca="false">IF($B63="","",IFERROR(INDEX('Data Piutang'!$M$8:$M$307,MATCH(LARGE('Data Piutang'!$N$8:$N$307,58),'Data Piutang'!$N$8:$N$307,0)),""))</f>
        <v/>
      </c>
      <c r="H63" s="86"/>
    </row>
    <row r="64" customFormat="false" ht="15" hidden="false" customHeight="true" outlineLevel="0" collapsed="false">
      <c r="A64" s="18" t="str">
        <f aca="false">IF($B64="","",59)</f>
        <v/>
      </c>
      <c r="B64" s="18" t="str">
        <f aca="false">IFERROR(INDEX('Data Piutang'!$C$8:$C$307,MATCH(LARGE('Data Piutang'!$N$8:$N$307,59),'Data Piutang'!$N$8:$N$307,0)),"")</f>
        <v/>
      </c>
      <c r="C64" s="78" t="str">
        <f aca="false">IF($B64="","",IFERROR(INDEX('Data Piutang'!$D$8:$D$307,MATCH(LARGE('Data Piutang'!$N$8:$N$307,59),'Data Piutang'!$N$8:$N$307,0)),""))</f>
        <v/>
      </c>
      <c r="D64" s="85" t="str">
        <f aca="false">IF($C64="","",IFERROR(INDEX('Master Pelanggan'!$D$6:$D$105,MATCH($C64,'Master Pelanggan'!$B$6:$B$105,0)),"belum terdaftar"))</f>
        <v/>
      </c>
      <c r="E64" s="80" t="str">
        <f aca="false">IF($B64="","",IFERROR(INDEX('Data Piutang'!$J$8:$J$307,MATCH(LARGE('Data Piutang'!$N$8:$N$307,59),'Data Piutang'!$N$8:$N$307,0)),""))</f>
        <v/>
      </c>
      <c r="F64" s="18" t="str">
        <f aca="false">IF($B64="","",IFERROR(INDEX('Data Piutang'!$L$8:$L$307,MATCH(LARGE('Data Piutang'!$N$8:$N$307,59),'Data Piutang'!$N$8:$N$307,0)),""))</f>
        <v/>
      </c>
      <c r="G64" s="38" t="str">
        <f aca="false">IF($B64="","",IFERROR(INDEX('Data Piutang'!$M$8:$M$307,MATCH(LARGE('Data Piutang'!$N$8:$N$307,59),'Data Piutang'!$N$8:$N$307,0)),""))</f>
        <v/>
      </c>
      <c r="H64" s="86"/>
    </row>
    <row r="65" customFormat="false" ht="15" hidden="false" customHeight="true" outlineLevel="0" collapsed="false">
      <c r="A65" s="18" t="str">
        <f aca="false">IF($B65="","",60)</f>
        <v/>
      </c>
      <c r="B65" s="18" t="str">
        <f aca="false">IFERROR(INDEX('Data Piutang'!$C$8:$C$307,MATCH(LARGE('Data Piutang'!$N$8:$N$307,60),'Data Piutang'!$N$8:$N$307,0)),"")</f>
        <v/>
      </c>
      <c r="C65" s="78" t="str">
        <f aca="false">IF($B65="","",IFERROR(INDEX('Data Piutang'!$D$8:$D$307,MATCH(LARGE('Data Piutang'!$N$8:$N$307,60),'Data Piutang'!$N$8:$N$307,0)),""))</f>
        <v/>
      </c>
      <c r="D65" s="85" t="str">
        <f aca="false">IF($C65="","",IFERROR(INDEX('Master Pelanggan'!$D$6:$D$105,MATCH($C65,'Master Pelanggan'!$B$6:$B$105,0)),"belum terdaftar"))</f>
        <v/>
      </c>
      <c r="E65" s="80" t="str">
        <f aca="false">IF($B65="","",IFERROR(INDEX('Data Piutang'!$J$8:$J$307,MATCH(LARGE('Data Piutang'!$N$8:$N$307,60),'Data Piutang'!$N$8:$N$307,0)),""))</f>
        <v/>
      </c>
      <c r="F65" s="18" t="str">
        <f aca="false">IF($B65="","",IFERROR(INDEX('Data Piutang'!$L$8:$L$307,MATCH(LARGE('Data Piutang'!$N$8:$N$307,60),'Data Piutang'!$N$8:$N$307,0)),""))</f>
        <v/>
      </c>
      <c r="G65" s="38" t="str">
        <f aca="false">IF($B65="","",IFERROR(INDEX('Data Piutang'!$M$8:$M$307,MATCH(LARGE('Data Piutang'!$N$8:$N$307,60),'Data Piutang'!$N$8:$N$307,0)),""))</f>
        <v/>
      </c>
      <c r="H65" s="86"/>
    </row>
    <row r="66" customFormat="false" ht="15" hidden="false" customHeight="true" outlineLevel="0" collapsed="false">
      <c r="A66" s="21"/>
      <c r="B66" s="21"/>
      <c r="C66" s="83"/>
      <c r="D66" s="21"/>
      <c r="E66" s="21"/>
      <c r="F66" s="21"/>
      <c r="G66" s="21"/>
      <c r="H66" s="83"/>
    </row>
    <row r="67" customFormat="false" ht="15" hidden="false" customHeight="true" outlineLevel="0" collapsed="false">
      <c r="A67" s="87" t="s">
        <v>121</v>
      </c>
      <c r="B67" s="87"/>
      <c r="C67" s="87"/>
      <c r="D67" s="87"/>
      <c r="E67" s="87"/>
      <c r="F67" s="87"/>
      <c r="G67" s="87"/>
      <c r="H67" s="87"/>
    </row>
    <row r="68" customFormat="false" ht="15" hidden="false" customHeight="true" outlineLevel="0" collapsed="false">
      <c r="A68" s="87"/>
      <c r="B68" s="87"/>
      <c r="C68" s="87"/>
      <c r="D68" s="87"/>
      <c r="E68" s="87"/>
      <c r="F68" s="87"/>
      <c r="G68" s="87"/>
      <c r="H68" s="87"/>
    </row>
  </sheetData>
  <autoFilter ref="A5:H65"/>
  <mergeCells count="3">
    <mergeCell ref="A1:H1"/>
    <mergeCell ref="A2:H2"/>
    <mergeCell ref="A67:H68"/>
  </mergeCells>
  <conditionalFormatting sqref="G6:G65">
    <cfRule type="cellIs" priority="2" operator="equal" aboveAverage="0" equalAverage="0" bottom="0" percent="0" rank="0" text="" dxfId="18">
      <formula>"1-30 hari"</formula>
    </cfRule>
    <cfRule type="cellIs" priority="3" operator="equal" aboveAverage="0" equalAverage="0" bottom="0" percent="0" rank="0" text="" dxfId="19">
      <formula>"31-60 hari"</formula>
    </cfRule>
    <cfRule type="cellIs" priority="4" operator="equal" aboveAverage="0" equalAverage="0" bottom="0" percent="0" rank="0" text="" dxfId="20">
      <formula>"61-90 hari"</formula>
    </cfRule>
    <cfRule type="cellIs" priority="5" operator="equal" aboveAverage="0" equalAverage="0" bottom="0" percent="0" rank="0" text="" dxfId="21">
      <formula>"Lebih dari 90 hari"</formula>
    </cfRule>
  </conditionalFormatting>
  <printOptions headings="false" gridLines="false" gridLinesSet="true" horizontalCentered="true" verticalCentered="false"/>
  <pageMargins left="0.4" right="0.4" top="0.5" bottom="0.5" header="0.511811023622047" footer="0.511805555555556"/>
  <pageSetup paperSize="9" scale="100" fitToWidth="1" fitToHeight="0" pageOrder="downThenOver" orientation="landscape" blackAndWhite="false" draft="false" cellComments="none" horizontalDpi="300" verticalDpi="300" copies="1"/>
  <headerFooter differentFirst="false" differentOddEven="false">
    <oddHeader/>
    <oddFooter>&amp;L&amp;8 Kartu Piutang Umur Tagihan — Vita | Accurate Online&amp;R&amp;8 Halaman &amp;P dari &amp;N</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2026-08-01T03:01:33Z</dcterms:created>
  <dc:creator>Vita | Accurate Online</dc:creator>
  <dc:description>Template gratis untuk mencatat piutang usaha dan umur tagihan. vitaaccurate.online/tools</dc:description>
  <cp:keywords>piutang umur tagihan aging UMKM Vita Accurate Online</cp:keywords>
  <dc:language>en-US</dc:language>
  <cp:lastModifiedBy/>
  <dcterms:modified xsi:type="dcterms:W3CDTF">2026-08-04T14:49:37Z</dcterms:modified>
  <cp:revision>0</cp:revision>
  <dc:subject/>
  <dc:title>Kartu Piutang &amp; Umur Tagihan</dc:title>
</cp:coreProperties>
</file>

<file path=docProps/custom.xml><?xml version="1.0" encoding="utf-8"?>
<Properties xmlns="http://schemas.openxmlformats.org/officeDocument/2006/custom-properties" xmlns:vt="http://schemas.openxmlformats.org/officeDocument/2006/docPropsVTypes"/>
</file>